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630" tabRatio="686" activeTab="4"/>
  </bookViews>
  <sheets>
    <sheet name="使用说明" sheetId="8" r:id="rId1"/>
    <sheet name="表格1 - 中央财政科研项目" sheetId="4" r:id="rId2"/>
    <sheet name="表格2- 上海市科研计划专项" sheetId="12" r:id="rId3"/>
    <sheet name="表格3- 其他有间接费用上限的项目" sheetId="14" r:id="rId4"/>
    <sheet name="表格4 - 没有办法规定的项目" sheetId="9" r:id="rId5"/>
    <sheet name="表格2 - 国际科技合作" sheetId="5" state="hidden" r:id="rId6"/>
    <sheet name="表格4 - 管理费项目" sheetId="13" state="hidden" r:id="rId7"/>
  </sheets>
  <calcPr calcId="125725"/>
</workbook>
</file>

<file path=xl/calcChain.xml><?xml version="1.0" encoding="utf-8"?>
<calcChain xmlns="http://schemas.openxmlformats.org/spreadsheetml/2006/main">
  <c r="G8" i="12"/>
  <c r="I59" i="14"/>
  <c r="B31"/>
  <c r="B30" s="1"/>
  <c r="H28"/>
  <c r="G28"/>
  <c r="I28" s="1"/>
  <c r="I27"/>
  <c r="I26"/>
  <c r="B24"/>
  <c r="B21" s="1"/>
  <c r="G22"/>
  <c r="G35" s="1"/>
  <c r="C20"/>
  <c r="D16"/>
  <c r="D15"/>
  <c r="C30" s="1"/>
  <c r="D14"/>
  <c r="C29" s="1"/>
  <c r="D13"/>
  <c r="L10"/>
  <c r="I10"/>
  <c r="L9"/>
  <c r="L8"/>
  <c r="G8"/>
  <c r="L7"/>
  <c r="L6"/>
  <c r="K8" i="9"/>
  <c r="G8"/>
  <c r="G11" s="1"/>
  <c r="G12" s="1"/>
  <c r="G21" i="12"/>
  <c r="H27"/>
  <c r="G27"/>
  <c r="I26"/>
  <c r="I25"/>
  <c r="K38" s="1"/>
  <c r="B30"/>
  <c r="B28" s="1"/>
  <c r="B23"/>
  <c r="B20" s="1"/>
  <c r="D15"/>
  <c r="C28"/>
  <c r="C19"/>
  <c r="H29" i="9"/>
  <c r="G29"/>
  <c r="I28"/>
  <c r="I27"/>
  <c r="G23"/>
  <c r="C20"/>
  <c r="D16"/>
  <c r="B24" s="1"/>
  <c r="I28" i="4"/>
  <c r="H29"/>
  <c r="G29"/>
  <c r="I27"/>
  <c r="G23"/>
  <c r="B30"/>
  <c r="D16"/>
  <c r="K10" i="9"/>
  <c r="K34" i="13"/>
  <c r="K28"/>
  <c r="G26"/>
  <c r="K33"/>
  <c r="K32"/>
  <c r="K26"/>
  <c r="G25"/>
  <c r="G24"/>
  <c r="K27"/>
  <c r="G14"/>
  <c r="G13"/>
  <c r="G12"/>
  <c r="G10"/>
  <c r="L19"/>
  <c r="I19"/>
  <c r="L18"/>
  <c r="L17"/>
  <c r="L16"/>
  <c r="L15"/>
  <c r="L6"/>
  <c r="B19"/>
  <c r="B23"/>
  <c r="B20" s="1"/>
  <c r="C21"/>
  <c r="G20"/>
  <c r="D14"/>
  <c r="D13"/>
  <c r="C19" s="1"/>
  <c r="C18" s="1"/>
  <c r="D12"/>
  <c r="L10"/>
  <c r="I10"/>
  <c r="L9"/>
  <c r="L8"/>
  <c r="G8"/>
  <c r="L7"/>
  <c r="D7"/>
  <c r="G7" i="12"/>
  <c r="L8" i="5"/>
  <c r="L9"/>
  <c r="L10"/>
  <c r="L7"/>
  <c r="L6"/>
  <c r="D14" i="12"/>
  <c r="C29" s="1"/>
  <c r="D13"/>
  <c r="D12"/>
  <c r="G20" i="5"/>
  <c r="D15" i="9"/>
  <c r="C30" s="1"/>
  <c r="D14"/>
  <c r="C29" s="1"/>
  <c r="D13"/>
  <c r="B9"/>
  <c r="B31" s="1"/>
  <c r="G13" l="1"/>
  <c r="I29"/>
  <c r="G34" i="12"/>
  <c r="G30" s="1"/>
  <c r="K34"/>
  <c r="K35" s="1"/>
  <c r="B22"/>
  <c r="D22" s="1"/>
  <c r="B21"/>
  <c r="D21" s="1"/>
  <c r="B29"/>
  <c r="D28" s="1"/>
  <c r="I27"/>
  <c r="K45" s="1"/>
  <c r="L11" i="14"/>
  <c r="G9" s="1"/>
  <c r="G10" s="1"/>
  <c r="G34"/>
  <c r="G31"/>
  <c r="G32" s="1"/>
  <c r="K46"/>
  <c r="K39"/>
  <c r="K38" s="1"/>
  <c r="K42"/>
  <c r="K45"/>
  <c r="D21"/>
  <c r="B22"/>
  <c r="D22" s="1"/>
  <c r="B23"/>
  <c r="D23" s="1"/>
  <c r="B29"/>
  <c r="D29" s="1"/>
  <c r="G33"/>
  <c r="G36" i="9"/>
  <c r="G32" s="1"/>
  <c r="G35" s="1"/>
  <c r="B30"/>
  <c r="B29"/>
  <c r="D29" s="1"/>
  <c r="K41" i="12"/>
  <c r="I29" i="4"/>
  <c r="B23" i="9"/>
  <c r="D23" s="1"/>
  <c r="B21"/>
  <c r="D21" s="1"/>
  <c r="B22"/>
  <c r="D22" s="1"/>
  <c r="G36" i="4"/>
  <c r="K5" i="9"/>
  <c r="K10" i="4"/>
  <c r="K8" s="1"/>
  <c r="L20" i="13"/>
  <c r="L11"/>
  <c r="G9" s="1"/>
  <c r="B21"/>
  <c r="D21" s="1"/>
  <c r="D19"/>
  <c r="G9" i="12"/>
  <c r="L29" i="5"/>
  <c r="G9" i="9"/>
  <c r="G10" s="1"/>
  <c r="I10" i="5"/>
  <c r="D15" i="4"/>
  <c r="C30" s="1"/>
  <c r="D12" i="5"/>
  <c r="C17" s="1"/>
  <c r="C16" s="1"/>
  <c r="D11"/>
  <c r="D6"/>
  <c r="D14" i="4"/>
  <c r="D13"/>
  <c r="B9"/>
  <c r="G11" i="12" l="1"/>
  <c r="G12"/>
  <c r="G10"/>
  <c r="G13" i="14"/>
  <c r="G11"/>
  <c r="G12" s="1"/>
  <c r="K37" i="12"/>
  <c r="L41"/>
  <c r="K42"/>
  <c r="K35" i="14"/>
  <c r="K36" s="1"/>
  <c r="K37" s="1"/>
  <c r="L45"/>
  <c r="K43"/>
  <c r="L42"/>
  <c r="B20"/>
  <c r="D20" s="1"/>
  <c r="G33" i="9"/>
  <c r="G34" s="1"/>
  <c r="G32" i="4"/>
  <c r="G35" s="1"/>
  <c r="G31" i="12"/>
  <c r="D20"/>
  <c r="B19"/>
  <c r="D19" s="1"/>
  <c r="B20" i="9"/>
  <c r="D20" s="1"/>
  <c r="B24" i="4"/>
  <c r="B21" s="1"/>
  <c r="B31"/>
  <c r="B29" s="1"/>
  <c r="D30"/>
  <c r="B23"/>
  <c r="D23" s="1"/>
  <c r="C29"/>
  <c r="C28" s="1"/>
  <c r="G14" i="9"/>
  <c r="B21" i="5"/>
  <c r="B17"/>
  <c r="G33" i="12" l="1"/>
  <c r="G32" s="1"/>
  <c r="K44"/>
  <c r="L43" i="14"/>
  <c r="K44"/>
  <c r="L44" s="1"/>
  <c r="G33" i="4"/>
  <c r="G34" s="1"/>
  <c r="B22"/>
  <c r="D22" s="1"/>
  <c r="C20"/>
  <c r="D21"/>
  <c r="L31" i="13"/>
  <c r="L32"/>
  <c r="L33"/>
  <c r="L11" i="5"/>
  <c r="G7" s="1"/>
  <c r="B18"/>
  <c r="B16" s="1"/>
  <c r="D16" s="1"/>
  <c r="L44" i="12" l="1"/>
  <c r="K43"/>
  <c r="B20" i="4"/>
  <c r="D20" s="1"/>
  <c r="G8" i="5"/>
  <c r="G9" s="1"/>
  <c r="G10" s="1"/>
  <c r="G23" s="1"/>
  <c r="E21" i="9"/>
  <c r="L34" i="13" l="1"/>
  <c r="G24" i="5"/>
  <c r="G25" s="1"/>
  <c r="K26"/>
  <c r="K20"/>
  <c r="K21" s="1"/>
  <c r="K22" s="1"/>
  <c r="G11"/>
  <c r="G12" s="1"/>
  <c r="D17"/>
  <c r="D18"/>
  <c r="K27" l="1"/>
  <c r="L27" s="1"/>
  <c r="L26"/>
  <c r="E18"/>
  <c r="K28" l="1"/>
  <c r="L28" s="1"/>
  <c r="B28" i="4" l="1"/>
  <c r="D28" s="1"/>
  <c r="D29" l="1"/>
  <c r="E22" l="1"/>
  <c r="B18" i="13"/>
  <c r="D18" s="1"/>
  <c r="D20"/>
  <c r="E21" l="1"/>
  <c r="K5" i="4"/>
  <c r="G8" s="1"/>
  <c r="L42" i="12"/>
  <c r="K36"/>
  <c r="L43" s="1"/>
  <c r="G9" i="4" l="1"/>
  <c r="H6" s="1"/>
  <c r="G12"/>
  <c r="G10" l="1"/>
  <c r="G13"/>
  <c r="G14"/>
  <c r="G15" l="1"/>
</calcChain>
</file>

<file path=xl/sharedStrings.xml><?xml version="1.0" encoding="utf-8"?>
<sst xmlns="http://schemas.openxmlformats.org/spreadsheetml/2006/main" count="533" uniqueCount="124">
  <si>
    <t>国家科技计划项目、公益性行业科技专项、国家自然科学基金资助项目</t>
  </si>
  <si>
    <t>已计提管理费</t>
    <phoneticPr fontId="5" type="noConversion"/>
  </si>
  <si>
    <t>经批复的预算：</t>
    <phoneticPr fontId="5" type="noConversion"/>
  </si>
  <si>
    <t>直接费用</t>
    <phoneticPr fontId="5" type="noConversion"/>
  </si>
  <si>
    <t>其中：设备购置费</t>
    <phoneticPr fontId="5" type="noConversion"/>
  </si>
  <si>
    <t>间接费用</t>
    <phoneticPr fontId="5" type="noConversion"/>
  </si>
  <si>
    <t>其中：绩效支出</t>
    <phoneticPr fontId="5" type="noConversion"/>
  </si>
  <si>
    <t>已到款</t>
    <phoneticPr fontId="5" type="noConversion"/>
  </si>
  <si>
    <t>项目总额</t>
    <phoneticPr fontId="5" type="noConversion"/>
  </si>
  <si>
    <t>外拨总额</t>
    <phoneticPr fontId="5" type="noConversion"/>
  </si>
  <si>
    <t>留校数</t>
    <phoneticPr fontId="5" type="noConversion"/>
  </si>
  <si>
    <t>已入账信息：</t>
    <phoneticPr fontId="5" type="noConversion"/>
  </si>
  <si>
    <t>院系统筹</t>
    <phoneticPr fontId="5" type="noConversion"/>
  </si>
  <si>
    <t>绩效支出</t>
    <phoneticPr fontId="5" type="noConversion"/>
  </si>
  <si>
    <t>补入账计算：</t>
    <phoneticPr fontId="5" type="noConversion"/>
  </si>
  <si>
    <t>总经费</t>
    <phoneticPr fontId="5" type="noConversion"/>
  </si>
  <si>
    <t>其中：学校统筹</t>
    <phoneticPr fontId="5" type="noConversion"/>
  </si>
  <si>
    <t>民口重大专项</t>
    <phoneticPr fontId="5" type="noConversion"/>
  </si>
  <si>
    <r>
      <rPr>
        <sz val="11"/>
        <color theme="1"/>
        <rFont val="宋体"/>
        <family val="3"/>
        <charset val="134"/>
      </rPr>
      <t>适用于</t>
    </r>
    <r>
      <rPr>
        <sz val="11"/>
        <color theme="1"/>
        <rFont val="Calibri"/>
        <family val="2"/>
        <charset val="134"/>
      </rPr>
      <t>2016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Calibri"/>
        <family val="2"/>
        <charset val="134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Calibri"/>
        <family val="2"/>
        <charset val="134"/>
      </rPr>
      <t>1</t>
    </r>
    <r>
      <rPr>
        <sz val="11"/>
        <color theme="1"/>
        <rFont val="宋体"/>
        <family val="3"/>
        <charset val="134"/>
      </rPr>
      <t>日前已经相关部委批复的预算项目</t>
    </r>
    <phoneticPr fontId="5" type="noConversion"/>
  </si>
  <si>
    <t>应入账</t>
    <phoneticPr fontId="5" type="noConversion"/>
  </si>
  <si>
    <t>已入账</t>
    <phoneticPr fontId="5" type="noConversion"/>
  </si>
  <si>
    <t>补入账</t>
    <phoneticPr fontId="5" type="noConversion"/>
  </si>
  <si>
    <t>根据科研经费管理办法应计提间接费用计算：</t>
    <phoneticPr fontId="5" type="noConversion"/>
  </si>
  <si>
    <t>间接费用计提标准</t>
    <phoneticPr fontId="5" type="noConversion"/>
  </si>
  <si>
    <t>计算基数 (例如:总经费等根据相关管理办法)</t>
    <phoneticPr fontId="5" type="noConversion"/>
  </si>
  <si>
    <t>比例上限</t>
    <phoneticPr fontId="5" type="noConversion"/>
  </si>
  <si>
    <t>管理费</t>
    <phoneticPr fontId="5" type="noConversion"/>
  </si>
  <si>
    <t>已计提绩效支出</t>
    <phoneticPr fontId="5" type="noConversion"/>
  </si>
  <si>
    <t>计算基数 (根据相关管理办法规定确定，例如总经费等)</t>
    <phoneticPr fontId="5" type="noConversion"/>
  </si>
  <si>
    <t>计算结果</t>
    <phoneticPr fontId="5" type="noConversion"/>
  </si>
  <si>
    <t>高于</t>
    <phoneticPr fontId="5" type="noConversion"/>
  </si>
  <si>
    <t>其他间接费用项目</t>
    <phoneticPr fontId="5" type="noConversion"/>
  </si>
  <si>
    <t>管理费计提标准</t>
    <phoneticPr fontId="5" type="noConversion"/>
  </si>
  <si>
    <t>适用计算表格</t>
    <phoneticPr fontId="5" type="noConversion"/>
  </si>
  <si>
    <t>表格1</t>
    <phoneticPr fontId="5" type="noConversion"/>
  </si>
  <si>
    <t>表格3</t>
    <phoneticPr fontId="5" type="noConversion"/>
  </si>
  <si>
    <t>相关管理办法未采用间接费用的概念，分别规定管理费和绩效支出各自比例上限的项目</t>
    <phoneticPr fontId="5" type="noConversion"/>
  </si>
  <si>
    <t>国际科技合作与交流项目、国家科技重大专项上海市配套等相关管理办法规定间接费用上限，但不得开支绩效支出的项目</t>
    <phoneticPr fontId="5" type="noConversion"/>
  </si>
  <si>
    <r>
      <rPr>
        <sz val="11"/>
        <color theme="1"/>
        <rFont val="宋体"/>
        <family val="3"/>
        <charset val="134"/>
      </rPr>
      <t>用于</t>
    </r>
    <r>
      <rPr>
        <sz val="11"/>
        <color theme="1"/>
        <rFont val="Calibri"/>
        <family val="2"/>
        <charset val="134"/>
      </rPr>
      <t>2016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Calibri"/>
        <family val="2"/>
        <charset val="134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Calibri"/>
        <family val="2"/>
        <charset val="134"/>
      </rPr>
      <t>1</t>
    </r>
    <r>
      <rPr>
        <sz val="11"/>
        <color theme="1"/>
        <rFont val="宋体"/>
        <family val="3"/>
        <charset val="134"/>
      </rPr>
      <t>日后新项目的预算和入账</t>
    </r>
    <phoneticPr fontId="5" type="noConversion"/>
  </si>
  <si>
    <t>外拨预算</t>
    <phoneticPr fontId="5" type="noConversion"/>
  </si>
  <si>
    <t>间接费用-总计</t>
    <phoneticPr fontId="5" type="noConversion"/>
  </si>
  <si>
    <t>间接费用-留校</t>
    <phoneticPr fontId="5" type="noConversion"/>
  </si>
  <si>
    <r>
      <rPr>
        <sz val="11"/>
        <color theme="1"/>
        <rFont val="宋体"/>
        <family val="3"/>
        <charset val="134"/>
      </rPr>
      <t>总经费（直接</t>
    </r>
    <r>
      <rPr>
        <sz val="11"/>
        <color theme="1"/>
        <rFont val="Calibri"/>
        <family val="2"/>
        <charset val="134"/>
      </rPr>
      <t>+</t>
    </r>
    <r>
      <rPr>
        <sz val="11"/>
        <color theme="1"/>
        <rFont val="宋体"/>
        <family val="3"/>
        <charset val="134"/>
      </rPr>
      <t>间接）</t>
    </r>
    <phoneticPr fontId="5" type="noConversion"/>
  </si>
  <si>
    <t>B</t>
    <phoneticPr fontId="5" type="noConversion"/>
  </si>
  <si>
    <t>A</t>
    <phoneticPr fontId="5" type="noConversion"/>
  </si>
  <si>
    <t>留校经费</t>
    <phoneticPr fontId="5" type="noConversion"/>
  </si>
  <si>
    <t>C</t>
    <phoneticPr fontId="5" type="noConversion"/>
  </si>
  <si>
    <t>D=A+C</t>
    <phoneticPr fontId="5" type="noConversion"/>
  </si>
  <si>
    <t>E=D-B</t>
    <phoneticPr fontId="5" type="noConversion"/>
  </si>
  <si>
    <t>其中：学校统筹</t>
    <phoneticPr fontId="5" type="noConversion"/>
  </si>
  <si>
    <t>院系统筹</t>
    <phoneticPr fontId="5" type="noConversion"/>
  </si>
  <si>
    <t>金额</t>
    <phoneticPr fontId="5" type="noConversion"/>
  </si>
  <si>
    <t>F</t>
    <phoneticPr fontId="5" type="noConversion"/>
  </si>
  <si>
    <t>项目预算</t>
    <phoneticPr fontId="5" type="noConversion"/>
  </si>
  <si>
    <t>到款的间接费用的入账</t>
    <phoneticPr fontId="5" type="noConversion"/>
  </si>
  <si>
    <t>本次到款</t>
    <phoneticPr fontId="5" type="noConversion"/>
  </si>
  <si>
    <t>累计到款</t>
    <phoneticPr fontId="5" type="noConversion"/>
  </si>
  <si>
    <t>之前已到款</t>
    <phoneticPr fontId="5" type="noConversion"/>
  </si>
  <si>
    <t>入账：</t>
    <phoneticPr fontId="5" type="noConversion"/>
  </si>
  <si>
    <t>间接费用</t>
    <phoneticPr fontId="5" type="noConversion"/>
  </si>
  <si>
    <t>for check purpose</t>
    <phoneticPr fontId="5" type="noConversion"/>
  </si>
  <si>
    <t>本次到款前，累计计提间接费用：</t>
    <phoneticPr fontId="5" type="noConversion"/>
  </si>
  <si>
    <t>截至本次到款，累计计提间接费用</t>
    <phoneticPr fontId="5" type="noConversion"/>
  </si>
  <si>
    <t>check</t>
    <phoneticPr fontId="5" type="noConversion"/>
  </si>
  <si>
    <t>累计到款比例</t>
    <phoneticPr fontId="5" type="noConversion"/>
  </si>
  <si>
    <t>间接费用</t>
    <phoneticPr fontId="5" type="noConversion"/>
  </si>
  <si>
    <t>F*80%</t>
    <phoneticPr fontId="5" type="noConversion"/>
  </si>
  <si>
    <t>F*20%</t>
    <phoneticPr fontId="5" type="noConversion"/>
  </si>
  <si>
    <t>这里填写留校的金额</t>
  </si>
  <si>
    <t>这里填写留校的金额</t>
    <phoneticPr fontId="5" type="noConversion"/>
  </si>
  <si>
    <t>这里填写留校的金额（如果预算中未明确绩效支出金额，请留空）</t>
    <phoneticPr fontId="5" type="noConversion"/>
  </si>
  <si>
    <t>总经费</t>
    <phoneticPr fontId="5" type="noConversion"/>
  </si>
  <si>
    <t>留校金额</t>
    <phoneticPr fontId="5" type="noConversion"/>
  </si>
  <si>
    <t>绩效支出计提标准</t>
    <phoneticPr fontId="5" type="noConversion"/>
  </si>
  <si>
    <t>间接费用-留校:</t>
    <phoneticPr fontId="5" type="noConversion"/>
  </si>
  <si>
    <t xml:space="preserve"> </t>
    <phoneticPr fontId="5" type="noConversion"/>
  </si>
  <si>
    <t>总经费确定时，如何确定间接费用</t>
    <phoneticPr fontId="5" type="noConversion"/>
  </si>
  <si>
    <r>
      <rPr>
        <sz val="11"/>
        <color theme="1"/>
        <rFont val="宋体"/>
        <family val="3"/>
        <charset val="134"/>
      </rPr>
      <t>适用于</t>
    </r>
    <r>
      <rPr>
        <sz val="11"/>
        <color theme="1"/>
        <rFont val="Calibri"/>
        <family val="2"/>
        <charset val="134"/>
      </rPr>
      <t>2016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Calibri"/>
        <family val="2"/>
        <charset val="134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Calibri"/>
        <family val="2"/>
        <charset val="134"/>
      </rPr>
      <t>1</t>
    </r>
    <r>
      <rPr>
        <sz val="11"/>
        <color theme="1"/>
        <rFont val="宋体"/>
        <family val="3"/>
        <charset val="134"/>
      </rPr>
      <t>日前已经相关部委批复的预算项目</t>
    </r>
    <phoneticPr fontId="5" type="noConversion"/>
  </si>
  <si>
    <t>本次到款入账</t>
    <phoneticPr fontId="5" type="noConversion"/>
  </si>
  <si>
    <t>本次到款信息：</t>
    <phoneticPr fontId="5" type="noConversion"/>
  </si>
  <si>
    <t>已到款（本次到款前）</t>
    <phoneticPr fontId="5" type="noConversion"/>
  </si>
  <si>
    <t>间接费用-绩效支出</t>
    <phoneticPr fontId="5" type="noConversion"/>
  </si>
  <si>
    <t>项目到款立项</t>
    <phoneticPr fontId="5" type="noConversion"/>
  </si>
  <si>
    <t>本次到款比例</t>
    <phoneticPr fontId="5" type="noConversion"/>
  </si>
  <si>
    <t>已到款（本次到款前）比例</t>
    <phoneticPr fontId="5" type="noConversion"/>
  </si>
  <si>
    <t>总经费</t>
    <phoneticPr fontId="5" type="noConversion"/>
  </si>
  <si>
    <t>本次到款</t>
    <phoneticPr fontId="5" type="noConversion"/>
  </si>
  <si>
    <t>合计</t>
    <phoneticPr fontId="5" type="noConversion"/>
  </si>
  <si>
    <t>本次到款比例</t>
    <phoneticPr fontId="5" type="noConversion"/>
  </si>
  <si>
    <t>本次到款入账：</t>
    <phoneticPr fontId="5" type="noConversion"/>
  </si>
  <si>
    <t>本次到款前的累计到款比例</t>
    <phoneticPr fontId="5" type="noConversion"/>
  </si>
  <si>
    <t>本次到款后累计到款比例</t>
    <phoneticPr fontId="5" type="noConversion"/>
  </si>
  <si>
    <t>历史到款对应的间接费用全部学校统筹</t>
    <phoneticPr fontId="5" type="noConversion"/>
  </si>
  <si>
    <t>金额（万元）</t>
    <phoneticPr fontId="5" type="noConversion"/>
  </si>
  <si>
    <t>项目类型</t>
    <phoneticPr fontId="5" type="noConversion"/>
  </si>
  <si>
    <t>预算编制：</t>
    <phoneticPr fontId="5" type="noConversion"/>
  </si>
  <si>
    <t>其中：设备购置费</t>
    <phoneticPr fontId="5" type="noConversion"/>
  </si>
  <si>
    <t>F*20%</t>
    <phoneticPr fontId="5" type="noConversion"/>
  </si>
  <si>
    <t>F*60%</t>
    <phoneticPr fontId="5" type="noConversion"/>
  </si>
  <si>
    <t>金额（万元）</t>
    <phoneticPr fontId="5" type="noConversion"/>
  </si>
  <si>
    <t>适用于没有经费管理办法规定的纵向科研项目</t>
    <phoneticPr fontId="5" type="noConversion"/>
  </si>
  <si>
    <t>项目预算(总经费金额不固定)</t>
    <phoneticPr fontId="5" type="noConversion"/>
  </si>
  <si>
    <t>间接费用计提标准（根据相关管理办法填写）</t>
    <phoneticPr fontId="5" type="noConversion"/>
  </si>
  <si>
    <t>上海市科研计划专项经费</t>
    <phoneticPr fontId="5" type="noConversion"/>
  </si>
  <si>
    <t>其他有管理办法对间接费用比例上限进行规定的项目</t>
    <phoneticPr fontId="5" type="noConversion"/>
  </si>
  <si>
    <t>（没有特殊规定请留白）</t>
    <phoneticPr fontId="5" type="noConversion"/>
  </si>
  <si>
    <t>绩效支出比例上限（占计算基数的比例上限）</t>
    <phoneticPr fontId="5" type="noConversion"/>
  </si>
  <si>
    <t>其他有相关经费管理办法对间接费用作出规定的项目</t>
    <phoneticPr fontId="5" type="noConversion"/>
  </si>
  <si>
    <r>
      <rPr>
        <b/>
        <sz val="11"/>
        <color rgb="FFFF0000"/>
        <rFont val="宋体"/>
        <family val="3"/>
        <charset val="134"/>
      </rPr>
      <t>注：根据《复旦大学理工医科科研项目经费管理办法》（校通字〔</t>
    </r>
    <r>
      <rPr>
        <b/>
        <sz val="11"/>
        <color rgb="FFFF0000"/>
        <rFont val="Calibri"/>
        <family val="2"/>
        <charset val="134"/>
      </rPr>
      <t>2017</t>
    </r>
    <r>
      <rPr>
        <b/>
        <sz val="11"/>
        <color rgb="FFFF0000"/>
        <rFont val="宋体"/>
        <family val="3"/>
        <charset val="134"/>
      </rPr>
      <t>〕</t>
    </r>
    <r>
      <rPr>
        <b/>
        <sz val="11"/>
        <color rgb="FFFF0000"/>
        <rFont val="Calibri"/>
        <family val="2"/>
        <charset val="134"/>
      </rPr>
      <t xml:space="preserve">3 </t>
    </r>
    <r>
      <rPr>
        <b/>
        <sz val="11"/>
        <color rgb="FFFF0000"/>
        <rFont val="宋体"/>
        <family val="3"/>
        <charset val="134"/>
      </rPr>
      <t>号），申请经费在</t>
    </r>
    <r>
      <rPr>
        <b/>
        <sz val="11"/>
        <color rgb="FFFF0000"/>
        <rFont val="Calibri"/>
        <family val="2"/>
        <charset val="134"/>
      </rPr>
      <t xml:space="preserve">200 </t>
    </r>
    <r>
      <rPr>
        <b/>
        <sz val="11"/>
        <color rgb="FFFF0000"/>
        <rFont val="宋体"/>
        <family val="3"/>
        <charset val="134"/>
      </rPr>
      <t>万以上的纵向科研项目，设备费原则上不低于项目直接费用的</t>
    </r>
    <r>
      <rPr>
        <b/>
        <sz val="11"/>
        <color rgb="FFFF0000"/>
        <rFont val="Calibri"/>
        <family val="2"/>
        <charset val="134"/>
      </rPr>
      <t>10%</t>
    </r>
    <r>
      <rPr>
        <b/>
        <sz val="11"/>
        <color rgb="FFFF0000"/>
        <rFont val="宋体"/>
        <family val="3"/>
        <charset val="134"/>
      </rPr>
      <t>，燃料动力费不低于直接费用的</t>
    </r>
    <r>
      <rPr>
        <b/>
        <sz val="11"/>
        <color rgb="FFFF0000"/>
        <rFont val="Calibri"/>
        <family val="2"/>
        <charset val="134"/>
      </rPr>
      <t>2%</t>
    </r>
    <r>
      <rPr>
        <b/>
        <sz val="11"/>
        <color rgb="FFFF0000"/>
        <rFont val="宋体"/>
        <family val="3"/>
        <charset val="134"/>
      </rPr>
      <t>。</t>
    </r>
    <phoneticPr fontId="5" type="noConversion"/>
  </si>
  <si>
    <t>间接费用计提标准（根据相关管理办法填写）</t>
    <phoneticPr fontId="5" type="noConversion"/>
  </si>
  <si>
    <t>计算基数 (例如:总经费等根据相关管理办法)</t>
    <phoneticPr fontId="5" type="noConversion"/>
  </si>
  <si>
    <t>比例上限</t>
    <phoneticPr fontId="5" type="noConversion"/>
  </si>
  <si>
    <t>高于</t>
    <phoneticPr fontId="5" type="noConversion"/>
  </si>
  <si>
    <t>绩效支出比例上限（占计算基数的比例上限）</t>
    <phoneticPr fontId="5" type="noConversion"/>
  </si>
  <si>
    <r>
      <rPr>
        <sz val="11"/>
        <color theme="3" tint="0.39997558519241921"/>
        <rFont val="宋体"/>
        <family val="3"/>
        <charset val="134"/>
      </rPr>
      <t>举例：间接费用规定：总经费</t>
    </r>
    <r>
      <rPr>
        <sz val="11"/>
        <color theme="3" tint="0.39997558519241921"/>
        <rFont val="Calibri"/>
        <family val="2"/>
        <charset val="134"/>
      </rPr>
      <t>100</t>
    </r>
    <r>
      <rPr>
        <sz val="11"/>
        <color theme="3" tint="0.39997558519241921"/>
        <rFont val="宋体"/>
        <family val="3"/>
        <charset val="134"/>
      </rPr>
      <t>万以下部分</t>
    </r>
    <r>
      <rPr>
        <sz val="11"/>
        <color theme="3" tint="0.39997558519241921"/>
        <rFont val="Calibri"/>
        <family val="2"/>
        <charset val="134"/>
      </rPr>
      <t>20%</t>
    </r>
    <r>
      <rPr>
        <sz val="11"/>
        <color theme="3" tint="0.39997558519241921"/>
        <rFont val="宋体"/>
        <family val="3"/>
        <charset val="134"/>
      </rPr>
      <t>，</t>
    </r>
    <r>
      <rPr>
        <sz val="11"/>
        <color theme="3" tint="0.39997558519241921"/>
        <rFont val="Calibri"/>
        <family val="2"/>
        <charset val="134"/>
      </rPr>
      <t>100</t>
    </r>
    <r>
      <rPr>
        <sz val="11"/>
        <color theme="3" tint="0.39997558519241921"/>
        <rFont val="宋体"/>
        <family val="3"/>
        <charset val="134"/>
      </rPr>
      <t>万以上部分</t>
    </r>
    <r>
      <rPr>
        <sz val="11"/>
        <color theme="3" tint="0.39997558519241921"/>
        <rFont val="Calibri"/>
        <family val="2"/>
        <charset val="134"/>
      </rPr>
      <t>10%</t>
    </r>
    <r>
      <rPr>
        <sz val="11"/>
        <color theme="3" tint="0.39997558519241921"/>
        <rFont val="宋体"/>
        <family val="3"/>
        <charset val="134"/>
      </rPr>
      <t>；绩效支出不得高于总经费的</t>
    </r>
    <r>
      <rPr>
        <sz val="11"/>
        <color theme="3" tint="0.39997558519241921"/>
        <rFont val="Calibri"/>
        <family val="2"/>
        <charset val="134"/>
      </rPr>
      <t>5%</t>
    </r>
    <r>
      <rPr>
        <sz val="11"/>
        <color theme="3" tint="0.39997558519241921"/>
        <rFont val="宋体"/>
        <family val="3"/>
        <charset val="134"/>
      </rPr>
      <t>，则如下填写：</t>
    </r>
    <phoneticPr fontId="5" type="noConversion"/>
  </si>
  <si>
    <r>
      <rPr>
        <sz val="11"/>
        <color rgb="FFFF0000"/>
        <rFont val="宋体"/>
        <family val="3"/>
        <charset val="134"/>
      </rPr>
      <t>注：根据《复旦大学理工医科科研项目经费管理办法》（校通字〔</t>
    </r>
    <r>
      <rPr>
        <sz val="11"/>
        <color rgb="FFFF0000"/>
        <rFont val="Calibri"/>
        <family val="2"/>
        <charset val="134"/>
      </rPr>
      <t>2017</t>
    </r>
    <r>
      <rPr>
        <sz val="11"/>
        <color rgb="FFFF0000"/>
        <rFont val="宋体"/>
        <family val="3"/>
        <charset val="134"/>
      </rPr>
      <t>〕</t>
    </r>
    <r>
      <rPr>
        <sz val="11"/>
        <color rgb="FFFF0000"/>
        <rFont val="Calibri"/>
        <family val="2"/>
        <charset val="134"/>
      </rPr>
      <t xml:space="preserve">3 </t>
    </r>
    <r>
      <rPr>
        <sz val="11"/>
        <color rgb="FFFF0000"/>
        <rFont val="宋体"/>
        <family val="3"/>
        <charset val="134"/>
      </rPr>
      <t>号），申请经费在</t>
    </r>
    <r>
      <rPr>
        <sz val="11"/>
        <color rgb="FFFF0000"/>
        <rFont val="Calibri"/>
        <family val="2"/>
        <charset val="134"/>
      </rPr>
      <t xml:space="preserve">200 </t>
    </r>
    <r>
      <rPr>
        <sz val="11"/>
        <color rgb="FFFF0000"/>
        <rFont val="宋体"/>
        <family val="3"/>
        <charset val="134"/>
      </rPr>
      <t>万以上的纵向科研项目，设备费原则上不低于项目直接费用的</t>
    </r>
    <r>
      <rPr>
        <sz val="11"/>
        <color rgb="FFFF0000"/>
        <rFont val="Calibri"/>
        <family val="2"/>
        <charset val="134"/>
      </rPr>
      <t>10%</t>
    </r>
    <r>
      <rPr>
        <sz val="11"/>
        <color rgb="FFFF0000"/>
        <rFont val="宋体"/>
        <family val="3"/>
        <charset val="134"/>
      </rPr>
      <t>，燃料动力费不低于直接费用的</t>
    </r>
    <r>
      <rPr>
        <sz val="11"/>
        <color rgb="FFFF0000"/>
        <rFont val="Calibri"/>
        <family val="2"/>
        <charset val="134"/>
      </rPr>
      <t>2%</t>
    </r>
    <r>
      <rPr>
        <sz val="11"/>
        <color rgb="FFFF0000"/>
        <rFont val="宋体"/>
        <family val="3"/>
        <charset val="134"/>
      </rPr>
      <t>。</t>
    </r>
    <phoneticPr fontId="5" type="noConversion"/>
  </si>
  <si>
    <t>理工医科纵向科研项目间接费用计算表-导读</t>
    <phoneticPr fontId="5" type="noConversion"/>
  </si>
  <si>
    <t>表格2</t>
    <phoneticPr fontId="5" type="noConversion"/>
  </si>
  <si>
    <t>没有管理办法规定的纵向科研项目</t>
    <phoneticPr fontId="5" type="noConversion"/>
  </si>
  <si>
    <t>表格4</t>
    <phoneticPr fontId="5" type="noConversion"/>
  </si>
  <si>
    <t>本工作表仅供编制复旦大学理工医科项目编制间接费用预算使用</t>
    <phoneticPr fontId="21" type="noConversion"/>
  </si>
  <si>
    <t>中央财政科研项目，包括国家重点研发计划专项等</t>
    <phoneticPr fontId="5" type="noConversion"/>
  </si>
  <si>
    <t>中央财政科研项目</t>
    <phoneticPr fontId="5" type="noConversion"/>
  </si>
  <si>
    <t>金额（万元）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</si>
</sst>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25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11"/>
      <color rgb="FFFF0000"/>
      <name val="Calibri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宋体"/>
      <family val="3"/>
      <charset val="134"/>
    </font>
    <font>
      <sz val="9"/>
      <name val="Calibri"/>
      <family val="2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Calibri"/>
      <family val="2"/>
      <charset val="134"/>
    </font>
    <font>
      <sz val="11"/>
      <color rgb="FF002060"/>
      <name val="Calibri"/>
      <family val="2"/>
      <charset val="134"/>
    </font>
    <font>
      <sz val="9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Calibri"/>
      <family val="2"/>
    </font>
    <font>
      <b/>
      <sz val="11"/>
      <color theme="5" tint="-0.249977111117893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rgb="FFFF0000"/>
      <name val="Calibri"/>
      <family val="2"/>
      <charset val="134"/>
    </font>
    <font>
      <sz val="11"/>
      <color theme="3" tint="0.39997558519241921"/>
      <name val="Calibri"/>
      <family val="2"/>
      <charset val="134"/>
    </font>
    <font>
      <sz val="11"/>
      <color theme="3" tint="0.39997558519241921"/>
      <name val="宋体"/>
      <family val="3"/>
      <charset val="134"/>
    </font>
    <font>
      <b/>
      <sz val="11"/>
      <color theme="3" tint="0.39997558519241921"/>
      <name val="宋体"/>
      <family val="3"/>
      <charset val="134"/>
    </font>
    <font>
      <b/>
      <sz val="11"/>
      <color theme="3" tint="0.39997558519241921"/>
      <name val="Calibri"/>
      <family val="2"/>
      <charset val="134"/>
    </font>
    <font>
      <b/>
      <sz val="16"/>
      <color rgb="FFFF000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43" fontId="0" fillId="3" borderId="0" xfId="1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176" fontId="0" fillId="3" borderId="0" xfId="1" applyNumberFormat="1" applyFont="1" applyFill="1" applyProtection="1">
      <alignment vertical="center"/>
      <protection locked="0"/>
    </xf>
    <xf numFmtId="9" fontId="0" fillId="3" borderId="0" xfId="0" applyNumberFormat="1" applyFill="1" applyProtection="1">
      <alignment vertical="center"/>
      <protection locked="0"/>
    </xf>
    <xf numFmtId="176" fontId="0" fillId="5" borderId="0" xfId="1" applyNumberFormat="1" applyFont="1" applyFill="1" applyProtection="1">
      <alignment vertical="center"/>
    </xf>
    <xf numFmtId="0" fontId="4" fillId="2" borderId="0" xfId="0" applyFont="1" applyFill="1" applyProtection="1">
      <alignment vertical="center"/>
    </xf>
    <xf numFmtId="43" fontId="0" fillId="2" borderId="0" xfId="1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5" borderId="0" xfId="0" applyFill="1" applyProtection="1">
      <alignment vertical="center"/>
    </xf>
    <xf numFmtId="0" fontId="6" fillId="5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4" fillId="5" borderId="0" xfId="0" applyFont="1" applyFill="1" applyProtection="1">
      <alignment vertical="center"/>
    </xf>
    <xf numFmtId="0" fontId="8" fillId="5" borderId="0" xfId="0" applyFont="1" applyFill="1" applyProtection="1">
      <alignment vertical="center"/>
    </xf>
    <xf numFmtId="43" fontId="0" fillId="2" borderId="0" xfId="0" applyNumberFormat="1" applyFill="1" applyProtection="1">
      <alignment vertical="center"/>
    </xf>
    <xf numFmtId="0" fontId="4" fillId="5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43" fontId="9" fillId="2" borderId="0" xfId="1" applyFont="1" applyFill="1" applyProtection="1">
      <alignment vertical="center"/>
    </xf>
    <xf numFmtId="43" fontId="0" fillId="5" borderId="0" xfId="1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43" fontId="0" fillId="2" borderId="2" xfId="1" applyFont="1" applyFill="1" applyBorder="1" applyProtection="1">
      <alignment vertical="center"/>
    </xf>
    <xf numFmtId="43" fontId="2" fillId="2" borderId="0" xfId="1" applyFont="1" applyFill="1" applyProtection="1">
      <alignment vertical="center"/>
    </xf>
    <xf numFmtId="0" fontId="4" fillId="5" borderId="10" xfId="0" applyFont="1" applyFill="1" applyBorder="1" applyProtection="1">
      <alignment vertical="center"/>
    </xf>
    <xf numFmtId="43" fontId="0" fillId="5" borderId="11" xfId="1" applyFont="1" applyFill="1" applyBorder="1" applyProtection="1">
      <alignment vertical="center"/>
    </xf>
    <xf numFmtId="0" fontId="4" fillId="5" borderId="6" xfId="0" applyFont="1" applyFill="1" applyBorder="1" applyAlignment="1" applyProtection="1">
      <alignment horizontal="left" vertical="center" indent="1"/>
    </xf>
    <xf numFmtId="43" fontId="0" fillId="5" borderId="5" xfId="0" applyNumberFormat="1" applyFill="1" applyBorder="1" applyProtection="1">
      <alignment vertical="center"/>
    </xf>
    <xf numFmtId="0" fontId="4" fillId="5" borderId="6" xfId="0" applyFont="1" applyFill="1" applyBorder="1" applyAlignment="1" applyProtection="1">
      <alignment horizontal="left" vertical="center" indent="6"/>
    </xf>
    <xf numFmtId="0" fontId="4" fillId="5" borderId="7" xfId="0" applyFont="1" applyFill="1" applyBorder="1" applyAlignment="1" applyProtection="1">
      <alignment horizontal="left" vertical="center" indent="6"/>
    </xf>
    <xf numFmtId="43" fontId="0" fillId="5" borderId="9" xfId="0" applyNumberFormat="1" applyFill="1" applyBorder="1" applyProtection="1">
      <alignment vertical="center"/>
    </xf>
    <xf numFmtId="0" fontId="0" fillId="5" borderId="12" xfId="0" applyFill="1" applyBorder="1" applyProtection="1">
      <alignment vertical="center"/>
    </xf>
    <xf numFmtId="0" fontId="0" fillId="5" borderId="13" xfId="0" applyFill="1" applyBorder="1" applyProtection="1">
      <alignment vertical="center"/>
    </xf>
    <xf numFmtId="0" fontId="0" fillId="5" borderId="14" xfId="0" applyFill="1" applyBorder="1" applyProtection="1">
      <alignment vertical="center"/>
    </xf>
    <xf numFmtId="0" fontId="0" fillId="5" borderId="15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16" xfId="0" applyFill="1" applyBorder="1" applyProtection="1">
      <alignment vertical="center"/>
    </xf>
    <xf numFmtId="0" fontId="4" fillId="5" borderId="0" xfId="0" applyFont="1" applyFill="1" applyBorder="1" applyProtection="1">
      <alignment vertical="center"/>
    </xf>
    <xf numFmtId="43" fontId="6" fillId="2" borderId="1" xfId="1" applyFont="1" applyFill="1" applyBorder="1" applyAlignment="1" applyProtection="1">
      <alignment horizontal="center" vertical="center"/>
    </xf>
    <xf numFmtId="43" fontId="0" fillId="5" borderId="11" xfId="0" applyNumberFormat="1" applyFill="1" applyBorder="1" applyProtection="1">
      <alignment vertical="center"/>
    </xf>
    <xf numFmtId="43" fontId="0" fillId="5" borderId="5" xfId="1" applyFont="1" applyFill="1" applyBorder="1" applyProtection="1">
      <alignment vertical="center"/>
    </xf>
    <xf numFmtId="0" fontId="4" fillId="2" borderId="0" xfId="0" applyFont="1" applyFill="1" applyAlignment="1" applyProtection="1">
      <alignment horizontal="left" vertical="center" indent="5"/>
    </xf>
    <xf numFmtId="43" fontId="0" fillId="5" borderId="2" xfId="0" applyNumberFormat="1" applyFill="1" applyBorder="1" applyProtection="1">
      <alignment vertical="center"/>
    </xf>
    <xf numFmtId="43" fontId="0" fillId="5" borderId="9" xfId="1" applyFont="1" applyFill="1" applyBorder="1" applyProtection="1">
      <alignment vertical="center"/>
    </xf>
    <xf numFmtId="9" fontId="0" fillId="2" borderId="0" xfId="2" applyFont="1" applyFill="1" applyProtection="1">
      <alignment vertical="center"/>
    </xf>
    <xf numFmtId="43" fontId="2" fillId="5" borderId="16" xfId="0" applyNumberFormat="1" applyFont="1" applyFill="1" applyBorder="1" applyProtection="1">
      <alignment vertical="center"/>
    </xf>
    <xf numFmtId="0" fontId="0" fillId="5" borderId="17" xfId="0" applyFill="1" applyBorder="1" applyProtection="1">
      <alignment vertical="center"/>
    </xf>
    <xf numFmtId="0" fontId="0" fillId="5" borderId="18" xfId="0" applyFill="1" applyBorder="1" applyProtection="1">
      <alignment vertical="center"/>
    </xf>
    <xf numFmtId="0" fontId="0" fillId="5" borderId="19" xfId="0" applyFill="1" applyBorder="1" applyProtection="1">
      <alignment vertical="center"/>
    </xf>
    <xf numFmtId="0" fontId="4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right" vertical="center"/>
    </xf>
    <xf numFmtId="9" fontId="0" fillId="5" borderId="0" xfId="0" applyNumberFormat="1" applyFill="1" applyProtection="1">
      <alignment vertical="center"/>
    </xf>
    <xf numFmtId="43" fontId="0" fillId="2" borderId="0" xfId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43" fontId="0" fillId="5" borderId="20" xfId="1" applyFont="1" applyFill="1" applyBorder="1" applyProtection="1">
      <alignment vertical="center"/>
    </xf>
    <xf numFmtId="0" fontId="4" fillId="5" borderId="0" xfId="0" applyFont="1" applyFill="1" applyAlignment="1" applyProtection="1">
      <alignment vertical="center" wrapText="1"/>
    </xf>
    <xf numFmtId="43" fontId="0" fillId="5" borderId="0" xfId="0" applyNumberFormat="1" applyFill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6" fillId="6" borderId="0" xfId="0" applyFont="1" applyFill="1" applyProtection="1">
      <alignment vertical="center"/>
    </xf>
    <xf numFmtId="43" fontId="0" fillId="6" borderId="0" xfId="1" applyFont="1" applyFill="1" applyProtection="1">
      <alignment vertical="center"/>
    </xf>
    <xf numFmtId="0" fontId="0" fillId="6" borderId="0" xfId="0" applyFill="1" applyProtection="1">
      <alignment vertical="center"/>
    </xf>
    <xf numFmtId="43" fontId="6" fillId="6" borderId="1" xfId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4" fillId="6" borderId="0" xfId="0" applyFont="1" applyFill="1" applyProtection="1">
      <alignment vertical="center"/>
    </xf>
    <xf numFmtId="43" fontId="0" fillId="6" borderId="0" xfId="0" applyNumberFormat="1" applyFill="1" applyProtection="1">
      <alignment vertical="center"/>
    </xf>
    <xf numFmtId="0" fontId="4" fillId="6" borderId="0" xfId="0" applyFont="1" applyFill="1" applyAlignment="1" applyProtection="1">
      <alignment horizontal="left" vertical="center" indent="5"/>
    </xf>
    <xf numFmtId="0" fontId="6" fillId="4" borderId="0" xfId="0" applyFont="1" applyFill="1" applyProtection="1">
      <alignment vertical="center"/>
    </xf>
    <xf numFmtId="43" fontId="0" fillId="4" borderId="0" xfId="1" applyFont="1" applyFill="1" applyProtection="1">
      <alignment vertical="center"/>
    </xf>
    <xf numFmtId="0" fontId="0" fillId="4" borderId="0" xfId="0" applyFill="1" applyProtection="1">
      <alignment vertical="center"/>
    </xf>
    <xf numFmtId="43" fontId="6" fillId="4" borderId="1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4" fillId="4" borderId="0" xfId="0" applyFont="1" applyFill="1" applyProtection="1">
      <alignment vertical="center"/>
    </xf>
    <xf numFmtId="43" fontId="0" fillId="4" borderId="0" xfId="0" applyNumberFormat="1" applyFill="1" applyProtection="1">
      <alignment vertical="center"/>
    </xf>
    <xf numFmtId="0" fontId="4" fillId="4" borderId="0" xfId="0" applyFont="1" applyFill="1" applyAlignment="1" applyProtection="1">
      <alignment horizontal="left" vertical="center" indent="5"/>
    </xf>
    <xf numFmtId="0" fontId="0" fillId="5" borderId="8" xfId="0" applyFill="1" applyBorder="1" applyProtection="1">
      <alignment vertical="center"/>
    </xf>
    <xf numFmtId="0" fontId="0" fillId="7" borderId="0" xfId="0" applyFill="1" applyProtection="1">
      <alignment vertical="center"/>
    </xf>
    <xf numFmtId="0" fontId="0" fillId="7" borderId="12" xfId="0" applyFill="1" applyBorder="1" applyProtection="1">
      <alignment vertical="center"/>
    </xf>
    <xf numFmtId="0" fontId="0" fillId="7" borderId="13" xfId="0" applyFill="1" applyBorder="1" applyProtection="1">
      <alignment vertical="center"/>
    </xf>
    <xf numFmtId="0" fontId="0" fillId="7" borderId="14" xfId="0" applyFill="1" applyBorder="1" applyProtection="1">
      <alignment vertical="center"/>
    </xf>
    <xf numFmtId="0" fontId="0" fillId="7" borderId="15" xfId="0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0" fillId="7" borderId="16" xfId="0" applyFill="1" applyBorder="1" applyProtection="1">
      <alignment vertical="center"/>
    </xf>
    <xf numFmtId="0" fontId="4" fillId="7" borderId="0" xfId="0" applyFont="1" applyFill="1" applyBorder="1" applyProtection="1">
      <alignment vertical="center"/>
    </xf>
    <xf numFmtId="0" fontId="4" fillId="7" borderId="0" xfId="0" applyFont="1" applyFill="1" applyProtection="1">
      <alignment vertical="center"/>
    </xf>
    <xf numFmtId="0" fontId="6" fillId="7" borderId="0" xfId="0" applyFont="1" applyFill="1" applyProtection="1">
      <alignment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horizontal="left" vertical="center" indent="1"/>
    </xf>
    <xf numFmtId="0" fontId="4" fillId="7" borderId="0" xfId="0" applyFont="1" applyFill="1" applyAlignment="1" applyProtection="1">
      <alignment horizontal="left" vertical="center"/>
    </xf>
    <xf numFmtId="0" fontId="10" fillId="6" borderId="0" xfId="0" applyFont="1" applyFill="1" applyProtection="1">
      <alignment vertical="center"/>
    </xf>
    <xf numFmtId="9" fontId="2" fillId="6" borderId="0" xfId="2" applyFont="1" applyFill="1" applyProtection="1">
      <alignment vertical="center"/>
    </xf>
    <xf numFmtId="0" fontId="10" fillId="4" borderId="0" xfId="0" applyFont="1" applyFill="1" applyProtection="1">
      <alignment vertical="center"/>
    </xf>
    <xf numFmtId="9" fontId="2" fillId="4" borderId="0" xfId="2" applyFont="1" applyFill="1" applyProtection="1">
      <alignment vertical="center"/>
    </xf>
    <xf numFmtId="43" fontId="0" fillId="7" borderId="0" xfId="1" applyFont="1" applyFill="1" applyProtection="1">
      <alignment vertical="center"/>
    </xf>
    <xf numFmtId="43" fontId="0" fillId="7" borderId="2" xfId="1" applyFont="1" applyFill="1" applyBorder="1" applyProtection="1">
      <alignment vertical="center"/>
    </xf>
    <xf numFmtId="43" fontId="9" fillId="7" borderId="0" xfId="1" applyFont="1" applyFill="1" applyProtection="1">
      <alignment vertical="center"/>
    </xf>
    <xf numFmtId="43" fontId="9" fillId="7" borderId="0" xfId="1" applyFont="1" applyFill="1" applyBorder="1" applyAlignment="1" applyProtection="1">
      <alignment vertical="center"/>
    </xf>
    <xf numFmtId="43" fontId="2" fillId="7" borderId="0" xfId="1" applyFont="1" applyFill="1" applyProtection="1">
      <alignment vertical="center"/>
    </xf>
    <xf numFmtId="43" fontId="0" fillId="7" borderId="0" xfId="0" applyNumberFormat="1" applyFill="1" applyProtection="1">
      <alignment vertical="center"/>
    </xf>
    <xf numFmtId="0" fontId="4" fillId="7" borderId="10" xfId="0" applyFont="1" applyFill="1" applyBorder="1" applyProtection="1">
      <alignment vertical="center"/>
    </xf>
    <xf numFmtId="43" fontId="0" fillId="7" borderId="11" xfId="0" applyNumberFormat="1" applyFill="1" applyBorder="1" applyProtection="1">
      <alignment vertical="center"/>
    </xf>
    <xf numFmtId="0" fontId="4" fillId="7" borderId="6" xfId="0" applyFont="1" applyFill="1" applyBorder="1" applyAlignment="1" applyProtection="1">
      <alignment horizontal="left" vertical="center" indent="1"/>
    </xf>
    <xf numFmtId="43" fontId="0" fillId="7" borderId="5" xfId="1" applyFont="1" applyFill="1" applyBorder="1" applyProtection="1">
      <alignment vertical="center"/>
    </xf>
    <xf numFmtId="0" fontId="4" fillId="7" borderId="6" xfId="0" applyFont="1" applyFill="1" applyBorder="1" applyAlignment="1" applyProtection="1">
      <alignment horizontal="left" vertical="center" indent="6"/>
    </xf>
    <xf numFmtId="0" fontId="4" fillId="7" borderId="7" xfId="0" applyFont="1" applyFill="1" applyBorder="1" applyAlignment="1" applyProtection="1">
      <alignment horizontal="left" vertical="center" indent="6"/>
    </xf>
    <xf numFmtId="43" fontId="0" fillId="7" borderId="9" xfId="1" applyFont="1" applyFill="1" applyBorder="1" applyProtection="1">
      <alignment vertical="center"/>
    </xf>
    <xf numFmtId="43" fontId="0" fillId="7" borderId="0" xfId="0" applyNumberFormat="1" applyFill="1" applyBorder="1" applyProtection="1">
      <alignment vertical="center"/>
    </xf>
    <xf numFmtId="0" fontId="4" fillId="7" borderId="0" xfId="0" applyFont="1" applyFill="1" applyBorder="1" applyAlignment="1" applyProtection="1">
      <alignment horizontal="left" vertical="center" indent="1"/>
    </xf>
    <xf numFmtId="43" fontId="0" fillId="7" borderId="0" xfId="1" applyFont="1" applyFill="1" applyBorder="1" applyProtection="1">
      <alignment vertical="center"/>
    </xf>
    <xf numFmtId="0" fontId="4" fillId="7" borderId="0" xfId="0" applyFont="1" applyFill="1" applyBorder="1" applyAlignment="1" applyProtection="1">
      <alignment horizontal="left" vertical="center" indent="6"/>
    </xf>
    <xf numFmtId="0" fontId="10" fillId="7" borderId="0" xfId="0" applyFont="1" applyFill="1" applyProtection="1">
      <alignment vertical="center"/>
    </xf>
    <xf numFmtId="9" fontId="2" fillId="7" borderId="0" xfId="2" applyFont="1" applyFill="1" applyProtection="1">
      <alignment vertical="center"/>
    </xf>
    <xf numFmtId="0" fontId="10" fillId="7" borderId="0" xfId="0" applyFont="1" applyFill="1" applyBorder="1" applyProtection="1">
      <alignment vertical="center"/>
    </xf>
    <xf numFmtId="9" fontId="2" fillId="7" borderId="0" xfId="2" applyFont="1" applyFill="1" applyBorder="1" applyProtection="1">
      <alignment vertical="center"/>
    </xf>
    <xf numFmtId="43" fontId="2" fillId="7" borderId="16" xfId="0" applyNumberFormat="1" applyFont="1" applyFill="1" applyBorder="1" applyProtection="1">
      <alignment vertical="center"/>
    </xf>
    <xf numFmtId="0" fontId="0" fillId="7" borderId="17" xfId="0" applyFill="1" applyBorder="1" applyProtection="1">
      <alignment vertical="center"/>
    </xf>
    <xf numFmtId="0" fontId="10" fillId="7" borderId="18" xfId="0" applyFont="1" applyFill="1" applyBorder="1" applyProtection="1">
      <alignment vertical="center"/>
    </xf>
    <xf numFmtId="9" fontId="2" fillId="7" borderId="18" xfId="2" applyFont="1" applyFill="1" applyBorder="1" applyProtection="1">
      <alignment vertical="center"/>
    </xf>
    <xf numFmtId="0" fontId="0" fillId="7" borderId="19" xfId="0" applyFill="1" applyBorder="1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12" fillId="5" borderId="0" xfId="0" applyFont="1" applyFill="1" applyProtection="1">
      <alignment vertical="center"/>
    </xf>
    <xf numFmtId="0" fontId="12" fillId="7" borderId="0" xfId="0" applyFont="1" applyFill="1" applyProtection="1">
      <alignment vertical="center"/>
    </xf>
    <xf numFmtId="0" fontId="6" fillId="4" borderId="10" xfId="0" applyFont="1" applyFill="1" applyBorder="1" applyProtection="1">
      <alignment vertical="center"/>
    </xf>
    <xf numFmtId="0" fontId="0" fillId="4" borderId="11" xfId="0" applyFill="1" applyBorder="1" applyProtection="1">
      <alignment vertical="center"/>
    </xf>
    <xf numFmtId="0" fontId="3" fillId="4" borderId="6" xfId="0" applyFont="1" applyFill="1" applyBorder="1" applyAlignment="1" applyProtection="1">
      <alignment horizontal="center" vertical="center"/>
    </xf>
    <xf numFmtId="0" fontId="4" fillId="4" borderId="6" xfId="0" applyFont="1" applyFill="1" applyBorder="1" applyProtection="1">
      <alignment vertical="center"/>
    </xf>
    <xf numFmtId="0" fontId="4" fillId="4" borderId="6" xfId="0" applyFont="1" applyFill="1" applyBorder="1" applyAlignment="1" applyProtection="1">
      <alignment horizontal="left" vertical="center" indent="1"/>
    </xf>
    <xf numFmtId="0" fontId="0" fillId="4" borderId="6" xfId="0" applyFill="1" applyBorder="1" applyProtection="1">
      <alignment vertical="center"/>
    </xf>
    <xf numFmtId="0" fontId="0" fillId="4" borderId="7" xfId="0" applyFill="1" applyBorder="1" applyProtection="1">
      <alignment vertical="center"/>
    </xf>
    <xf numFmtId="0" fontId="0" fillId="4" borderId="9" xfId="0" applyFill="1" applyBorder="1" applyProtection="1">
      <alignment vertical="center"/>
    </xf>
    <xf numFmtId="0" fontId="0" fillId="4" borderId="21" xfId="0" applyFill="1" applyBorder="1" applyProtection="1">
      <alignment vertical="center"/>
    </xf>
    <xf numFmtId="43" fontId="0" fillId="4" borderId="0" xfId="1" applyFont="1" applyFill="1" applyBorder="1" applyProtection="1">
      <alignment vertical="center"/>
    </xf>
    <xf numFmtId="43" fontId="0" fillId="3" borderId="0" xfId="1" applyFont="1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0" fillId="4" borderId="5" xfId="0" applyFill="1" applyBorder="1" applyProtection="1">
      <alignment vertical="center"/>
    </xf>
    <xf numFmtId="43" fontId="0" fillId="3" borderId="0" xfId="0" applyNumberFormat="1" applyFill="1" applyProtection="1">
      <alignment vertical="center"/>
    </xf>
    <xf numFmtId="0" fontId="0" fillId="5" borderId="10" xfId="0" applyFill="1" applyBorder="1" applyProtection="1">
      <alignment vertical="center"/>
    </xf>
    <xf numFmtId="0" fontId="0" fillId="5" borderId="21" xfId="0" applyFill="1" applyBorder="1" applyProtection="1">
      <alignment vertical="center"/>
    </xf>
    <xf numFmtId="0" fontId="0" fillId="5" borderId="11" xfId="0" applyFill="1" applyBorder="1" applyProtection="1">
      <alignment vertical="center"/>
    </xf>
    <xf numFmtId="0" fontId="6" fillId="5" borderId="6" xfId="0" applyFont="1" applyFill="1" applyBorder="1" applyProtection="1">
      <alignment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5" xfId="0" applyFill="1" applyBorder="1" applyProtection="1">
      <alignment vertical="center"/>
    </xf>
    <xf numFmtId="0" fontId="4" fillId="5" borderId="6" xfId="0" applyFont="1" applyFill="1" applyBorder="1" applyAlignment="1" applyProtection="1">
      <alignment horizontal="right" vertical="center"/>
    </xf>
    <xf numFmtId="176" fontId="0" fillId="5" borderId="0" xfId="1" applyNumberFormat="1" applyFont="1" applyFill="1" applyBorder="1" applyProtection="1">
      <alignment vertical="center"/>
    </xf>
    <xf numFmtId="9" fontId="0" fillId="3" borderId="0" xfId="0" applyNumberFormat="1" applyFill="1" applyBorder="1" applyProtection="1">
      <alignment vertical="center"/>
      <protection locked="0"/>
    </xf>
    <xf numFmtId="43" fontId="0" fillId="5" borderId="0" xfId="1" applyFont="1" applyFill="1" applyBorder="1" applyProtection="1">
      <alignment vertical="center"/>
    </xf>
    <xf numFmtId="176" fontId="0" fillId="3" borderId="0" xfId="1" applyNumberFormat="1" applyFont="1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5" borderId="9" xfId="0" applyFill="1" applyBorder="1" applyProtection="1">
      <alignment vertical="center"/>
    </xf>
    <xf numFmtId="0" fontId="0" fillId="5" borderId="6" xfId="0" applyFill="1" applyBorder="1" applyProtection="1">
      <alignment vertical="center"/>
    </xf>
    <xf numFmtId="0" fontId="4" fillId="5" borderId="7" xfId="0" applyFont="1" applyFill="1" applyBorder="1" applyProtection="1">
      <alignment vertical="center"/>
    </xf>
    <xf numFmtId="0" fontId="15" fillId="5" borderId="0" xfId="0" applyFont="1" applyFill="1" applyAlignment="1" applyProtection="1">
      <alignment vertical="center" wrapText="1"/>
    </xf>
    <xf numFmtId="0" fontId="7" fillId="5" borderId="0" xfId="0" applyFont="1" applyFill="1" applyBorder="1" applyAlignment="1" applyProtection="1">
      <alignment vertical="center" wrapText="1"/>
    </xf>
    <xf numFmtId="0" fontId="18" fillId="5" borderId="32" xfId="0" applyFont="1" applyFill="1" applyBorder="1" applyProtection="1">
      <alignment vertical="center"/>
    </xf>
    <xf numFmtId="0" fontId="16" fillId="5" borderId="0" xfId="0" applyFont="1" applyFill="1" applyBorder="1" applyProtection="1">
      <alignment vertical="center"/>
    </xf>
    <xf numFmtId="0" fontId="19" fillId="5" borderId="33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6" fillId="5" borderId="33" xfId="0" applyFont="1" applyFill="1" applyBorder="1" applyProtection="1">
      <alignment vertical="center"/>
    </xf>
    <xf numFmtId="0" fontId="17" fillId="5" borderId="32" xfId="0" applyFont="1" applyFill="1" applyBorder="1" applyAlignment="1" applyProtection="1">
      <alignment horizontal="right" vertical="center"/>
    </xf>
    <xf numFmtId="176" fontId="16" fillId="5" borderId="0" xfId="1" applyNumberFormat="1" applyFont="1" applyFill="1" applyBorder="1" applyProtection="1">
      <alignment vertical="center"/>
    </xf>
    <xf numFmtId="0" fontId="17" fillId="5" borderId="0" xfId="0" applyFont="1" applyFill="1" applyBorder="1" applyProtection="1">
      <alignment vertical="center"/>
    </xf>
    <xf numFmtId="0" fontId="16" fillId="5" borderId="34" xfId="0" applyFont="1" applyFill="1" applyBorder="1" applyProtection="1">
      <alignment vertical="center"/>
    </xf>
    <xf numFmtId="0" fontId="16" fillId="5" borderId="35" xfId="0" applyFont="1" applyFill="1" applyBorder="1" applyProtection="1">
      <alignment vertical="center"/>
    </xf>
    <xf numFmtId="0" fontId="16" fillId="5" borderId="36" xfId="0" applyFont="1" applyFill="1" applyBorder="1" applyProtection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6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center" wrapText="1"/>
    </xf>
    <xf numFmtId="0" fontId="22" fillId="6" borderId="28" xfId="0" applyFont="1" applyFill="1" applyBorder="1" applyAlignment="1">
      <alignment vertical="center"/>
    </xf>
    <xf numFmtId="0" fontId="22" fillId="6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4" fillId="5" borderId="0" xfId="0" applyFont="1" applyFill="1" applyProtection="1">
      <alignment vertical="center"/>
    </xf>
    <xf numFmtId="0" fontId="4" fillId="5" borderId="0" xfId="0" applyFont="1" applyFill="1" applyAlignment="1" applyProtection="1">
      <alignment horizontal="left" vertical="center" wrapText="1"/>
    </xf>
    <xf numFmtId="43" fontId="0" fillId="3" borderId="0" xfId="1" applyFont="1" applyFill="1" applyProtection="1">
      <alignment vertical="center"/>
    </xf>
    <xf numFmtId="9" fontId="16" fillId="8" borderId="0" xfId="0" applyNumberFormat="1" applyFont="1" applyFill="1" applyBorder="1" applyProtection="1">
      <alignment vertical="center"/>
    </xf>
    <xf numFmtId="176" fontId="16" fillId="8" borderId="0" xfId="1" applyNumberFormat="1" applyFont="1" applyFill="1" applyBorder="1" applyProtection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43" fontId="9" fillId="2" borderId="0" xfId="1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43" fontId="11" fillId="4" borderId="0" xfId="0" applyNumberFormat="1" applyFont="1" applyFill="1" applyAlignment="1" applyProtection="1">
      <alignment horizontal="center" vertical="center"/>
    </xf>
    <xf numFmtId="0" fontId="18" fillId="5" borderId="32" xfId="0" applyFont="1" applyFill="1" applyBorder="1" applyAlignment="1" applyProtection="1">
      <alignment horizontal="left" vertical="center" wrapText="1"/>
    </xf>
    <xf numFmtId="0" fontId="18" fillId="5" borderId="0" xfId="0" applyFont="1" applyFill="1" applyBorder="1" applyAlignment="1" applyProtection="1">
      <alignment horizontal="left" vertical="center" wrapText="1"/>
    </xf>
    <xf numFmtId="0" fontId="16" fillId="5" borderId="29" xfId="0" applyFont="1" applyFill="1" applyBorder="1" applyAlignment="1" applyProtection="1">
      <alignment horizontal="left" vertical="center" wrapText="1"/>
    </xf>
    <xf numFmtId="0" fontId="16" fillId="5" borderId="30" xfId="0" applyFont="1" applyFill="1" applyBorder="1" applyAlignment="1" applyProtection="1">
      <alignment horizontal="left" vertical="center" wrapText="1"/>
    </xf>
    <xf numFmtId="0" fontId="16" fillId="5" borderId="31" xfId="0" applyFont="1" applyFill="1" applyBorder="1" applyAlignment="1" applyProtection="1">
      <alignment horizontal="left" vertical="center" wrapText="1"/>
    </xf>
    <xf numFmtId="0" fontId="2" fillId="5" borderId="0" xfId="0" applyFont="1" applyFill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17" fillId="5" borderId="32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left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2"/>
  <sheetViews>
    <sheetView workbookViewId="0">
      <selection sqref="A1:XFD1048576"/>
    </sheetView>
  </sheetViews>
  <sheetFormatPr defaultRowHeight="20.25"/>
  <cols>
    <col min="1" max="1" width="2.85546875" style="175" customWidth="1"/>
    <col min="2" max="2" width="10.85546875" style="175" customWidth="1"/>
    <col min="3" max="3" width="78.42578125" style="175" customWidth="1"/>
    <col min="4" max="4" width="22.5703125" style="176" customWidth="1"/>
    <col min="5" max="16384" width="9.140625" style="175"/>
  </cols>
  <sheetData>
    <row r="1" spans="2:6">
      <c r="B1" s="174" t="s">
        <v>116</v>
      </c>
    </row>
    <row r="2" spans="2:6" ht="15.75" customHeight="1" thickBot="1">
      <c r="B2" s="174"/>
    </row>
    <row r="3" spans="2:6" ht="15.75" customHeight="1">
      <c r="B3" s="192" t="s">
        <v>120</v>
      </c>
      <c r="C3" s="193"/>
      <c r="D3" s="194"/>
      <c r="E3" s="179"/>
      <c r="F3" s="179"/>
    </row>
    <row r="4" spans="2:6" ht="30" customHeight="1" thickBot="1">
      <c r="B4" s="195"/>
      <c r="C4" s="196"/>
      <c r="D4" s="197"/>
      <c r="E4" s="179"/>
      <c r="F4" s="179"/>
    </row>
    <row r="5" spans="2:6" ht="15.75" customHeight="1">
      <c r="D5" s="175"/>
    </row>
    <row r="6" spans="2:6" ht="15.75" customHeight="1">
      <c r="D6" s="175"/>
    </row>
    <row r="7" spans="2:6" ht="15.75" customHeight="1" thickBot="1">
      <c r="B7" s="174"/>
    </row>
    <row r="8" spans="2:6" ht="27.75" customHeight="1">
      <c r="C8" s="180" t="s">
        <v>94</v>
      </c>
      <c r="D8" s="181" t="s">
        <v>33</v>
      </c>
    </row>
    <row r="9" spans="2:6" ht="30" customHeight="1">
      <c r="C9" s="185" t="s">
        <v>121</v>
      </c>
      <c r="D9" s="186" t="s">
        <v>34</v>
      </c>
    </row>
    <row r="10" spans="2:6" ht="30" customHeight="1">
      <c r="C10" s="182" t="s">
        <v>103</v>
      </c>
      <c r="D10" s="173" t="s">
        <v>117</v>
      </c>
    </row>
    <row r="11" spans="2:6" ht="30" customHeight="1">
      <c r="C11" s="177" t="s">
        <v>107</v>
      </c>
      <c r="D11" s="178" t="s">
        <v>35</v>
      </c>
    </row>
    <row r="12" spans="2:6" ht="30" customHeight="1" thickBot="1">
      <c r="C12" s="183" t="s">
        <v>118</v>
      </c>
      <c r="D12" s="184" t="s">
        <v>119</v>
      </c>
    </row>
  </sheetData>
  <sheetProtection password="8F4F" sheet="1" objects="1" scenarios="1" selectLockedCells="1"/>
  <mergeCells count="1">
    <mergeCell ref="B3:D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2"/>
  <sheetViews>
    <sheetView topLeftCell="F1" zoomScaleNormal="100" workbookViewId="0">
      <selection activeCell="G6" sqref="G6"/>
    </sheetView>
  </sheetViews>
  <sheetFormatPr defaultRowHeight="15"/>
  <cols>
    <col min="1" max="1" width="39.42578125" style="8" hidden="1" customWidth="1"/>
    <col min="2" max="2" width="18.7109375" style="7" hidden="1" customWidth="1"/>
    <col min="3" max="4" width="19.140625" style="8" hidden="1" customWidth="1"/>
    <col min="5" max="5" width="6.5703125" style="8" hidden="1" customWidth="1"/>
    <col min="6" max="6" width="23.28515625" style="9" customWidth="1"/>
    <col min="7" max="7" width="16" style="9" customWidth="1"/>
    <col min="8" max="8" width="24.85546875" style="9" customWidth="1"/>
    <col min="9" max="9" width="14.85546875" style="9" customWidth="1"/>
    <col min="10" max="10" width="23.140625" style="9" customWidth="1"/>
    <col min="11" max="11" width="15.85546875" style="9" customWidth="1"/>
    <col min="12" max="12" width="2.42578125" style="9" customWidth="1"/>
    <col min="13" max="78" width="9.140625" style="125"/>
    <col min="79" max="16384" width="9.140625" style="8"/>
  </cols>
  <sheetData>
    <row r="1" spans="1:78">
      <c r="A1" s="6" t="s">
        <v>0</v>
      </c>
      <c r="F1" s="187" t="s">
        <v>122</v>
      </c>
    </row>
    <row r="2" spans="1:78" ht="15.75" thickBot="1">
      <c r="A2" s="8" t="s">
        <v>77</v>
      </c>
      <c r="F2" s="127" t="s">
        <v>95</v>
      </c>
    </row>
    <row r="3" spans="1:78">
      <c r="A3" s="6" t="s">
        <v>2</v>
      </c>
      <c r="F3" s="10" t="s">
        <v>101</v>
      </c>
      <c r="J3" s="129" t="s">
        <v>76</v>
      </c>
      <c r="K3" s="137"/>
      <c r="L3" s="130"/>
    </row>
    <row r="4" spans="1:78" s="16" customFormat="1">
      <c r="A4" s="11"/>
      <c r="B4" s="12" t="s">
        <v>10</v>
      </c>
      <c r="C4" s="20"/>
      <c r="E4" s="13"/>
      <c r="F4" s="14"/>
      <c r="G4" s="15" t="s">
        <v>93</v>
      </c>
      <c r="H4" s="9"/>
      <c r="I4" s="9"/>
      <c r="J4" s="131"/>
      <c r="K4" s="76" t="s">
        <v>99</v>
      </c>
      <c r="L4" s="141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</row>
    <row r="5" spans="1:78">
      <c r="A5" s="17" t="s">
        <v>2</v>
      </c>
      <c r="F5" s="18" t="s">
        <v>3</v>
      </c>
      <c r="G5" s="1"/>
      <c r="H5" s="19" t="s">
        <v>44</v>
      </c>
      <c r="I5" s="19"/>
      <c r="J5" s="132" t="s">
        <v>3</v>
      </c>
      <c r="K5" s="138">
        <f>K9-K8</f>
        <v>0</v>
      </c>
      <c r="L5" s="142"/>
    </row>
    <row r="6" spans="1:78" ht="42" customHeight="1">
      <c r="A6" s="6" t="s">
        <v>3</v>
      </c>
      <c r="B6" s="189"/>
      <c r="C6" s="23" t="s">
        <v>69</v>
      </c>
      <c r="D6" s="20"/>
      <c r="F6" s="21" t="s">
        <v>4</v>
      </c>
      <c r="G6" s="1"/>
      <c r="H6" s="160" t="str">
        <f>IF(G9&gt;200,IF(G6/G5&lt;10%,"项目经费大于200万的，设备费至少为直接费用的10%",""),"")</f>
        <v/>
      </c>
      <c r="I6" s="19"/>
      <c r="J6" s="133" t="s">
        <v>4</v>
      </c>
      <c r="K6" s="139"/>
      <c r="L6" s="142"/>
    </row>
    <row r="7" spans="1:78">
      <c r="A7" s="6" t="s">
        <v>5</v>
      </c>
      <c r="B7" s="189"/>
      <c r="F7" s="18" t="s">
        <v>39</v>
      </c>
      <c r="G7" s="1"/>
      <c r="H7" s="19" t="s">
        <v>43</v>
      </c>
      <c r="I7" s="19"/>
      <c r="J7" s="132" t="s">
        <v>39</v>
      </c>
      <c r="K7" s="139"/>
      <c r="L7" s="142"/>
    </row>
    <row r="8" spans="1:78" ht="24.75" customHeight="1">
      <c r="A8" s="22" t="s">
        <v>6</v>
      </c>
      <c r="B8" s="189"/>
      <c r="C8" s="198" t="s">
        <v>70</v>
      </c>
      <c r="D8" s="198"/>
      <c r="F8" s="18" t="s">
        <v>40</v>
      </c>
      <c r="G8" s="24">
        <f>MIN(500,($G$5-$G$6))*20%+MIN(MAX(0,($G$5-$G$6-500)*15%),500*15%)+MAX(0,($G$5-$G$6-1000)*13%)</f>
        <v>0</v>
      </c>
      <c r="H8" s="19" t="s">
        <v>46</v>
      </c>
      <c r="I8" s="19"/>
      <c r="J8" s="132" t="s">
        <v>40</v>
      </c>
      <c r="K8" s="138">
        <f>((LOOKUP(K10-K6,{0,600,1175},{20,15,13}%))*(K10-K6)+LOOKUP(K10-K6,{0,600,1175},{0,25,45}))/(1+LOOKUP(K10-K6,{0,600,1175},{20,15,13}%))</f>
        <v>0</v>
      </c>
      <c r="L8" s="142"/>
    </row>
    <row r="9" spans="1:78">
      <c r="A9" s="26" t="s">
        <v>85</v>
      </c>
      <c r="B9" s="27">
        <f>B6+B7</f>
        <v>0</v>
      </c>
      <c r="E9" s="25"/>
      <c r="F9" s="9" t="s">
        <v>42</v>
      </c>
      <c r="G9" s="24">
        <f>G8+G5</f>
        <v>0</v>
      </c>
      <c r="H9" s="19" t="s">
        <v>47</v>
      </c>
      <c r="I9" s="19"/>
      <c r="J9" s="134" t="s">
        <v>42</v>
      </c>
      <c r="K9" s="139"/>
      <c r="L9" s="142"/>
    </row>
    <row r="10" spans="1:78">
      <c r="C10" s="16"/>
      <c r="D10" s="16"/>
      <c r="F10" s="18" t="s">
        <v>45</v>
      </c>
      <c r="G10" s="24">
        <f>G9-G7</f>
        <v>0</v>
      </c>
      <c r="H10" s="9" t="s">
        <v>48</v>
      </c>
      <c r="J10" s="132" t="s">
        <v>45</v>
      </c>
      <c r="K10" s="138">
        <f>K9-K7</f>
        <v>0</v>
      </c>
      <c r="L10" s="142"/>
    </row>
    <row r="11" spans="1:78" ht="15.75" thickBot="1">
      <c r="A11" s="26"/>
      <c r="B11" s="12" t="s">
        <v>8</v>
      </c>
      <c r="C11" s="12" t="s">
        <v>9</v>
      </c>
      <c r="D11" s="12" t="s">
        <v>10</v>
      </c>
      <c r="F11" s="18"/>
      <c r="G11" s="24"/>
      <c r="J11" s="132"/>
      <c r="K11" s="138"/>
      <c r="L11" s="142"/>
    </row>
    <row r="12" spans="1:78" ht="15.75" thickBot="1">
      <c r="A12" s="17" t="s">
        <v>11</v>
      </c>
      <c r="C12" s="28"/>
      <c r="F12" s="29" t="s">
        <v>41</v>
      </c>
      <c r="G12" s="30" t="e">
        <f>ROUND(G8*(G5+G8-G7)/(G5+G8),2)</f>
        <v>#DIV/0!</v>
      </c>
      <c r="H12" s="9" t="s">
        <v>52</v>
      </c>
      <c r="J12" s="135"/>
      <c r="K12" s="140"/>
      <c r="L12" s="136"/>
    </row>
    <row r="13" spans="1:78">
      <c r="A13" s="6" t="s">
        <v>80</v>
      </c>
      <c r="B13" s="189"/>
      <c r="C13" s="189"/>
      <c r="D13" s="20">
        <f>B13-C13</f>
        <v>0</v>
      </c>
      <c r="E13" s="25"/>
      <c r="F13" s="31" t="s">
        <v>49</v>
      </c>
      <c r="G13" s="32" t="e">
        <f>ROUND($G$12*0.2,2)</f>
        <v>#DIV/0!</v>
      </c>
      <c r="H13" s="9" t="s">
        <v>97</v>
      </c>
    </row>
    <row r="14" spans="1:78">
      <c r="A14" s="6" t="s">
        <v>1</v>
      </c>
      <c r="B14" s="189"/>
      <c r="C14" s="20"/>
      <c r="D14" s="20">
        <f>B14-C14</f>
        <v>0</v>
      </c>
      <c r="E14" s="25"/>
      <c r="F14" s="33" t="s">
        <v>50</v>
      </c>
      <c r="G14" s="32" t="e">
        <f>ROUND($G$12*0.2,2)</f>
        <v>#DIV/0!</v>
      </c>
      <c r="H14" s="9" t="s">
        <v>97</v>
      </c>
      <c r="J14" s="18"/>
    </row>
    <row r="15" spans="1:78" ht="15.75" thickBot="1">
      <c r="A15" s="6" t="s">
        <v>27</v>
      </c>
      <c r="B15" s="189"/>
      <c r="C15" s="20"/>
      <c r="D15" s="20">
        <f>B15-C15</f>
        <v>0</v>
      </c>
      <c r="E15" s="25"/>
      <c r="F15" s="34" t="s">
        <v>13</v>
      </c>
      <c r="G15" s="35" t="e">
        <f>G12-G13-G14</f>
        <v>#DIV/0!</v>
      </c>
      <c r="H15" s="9" t="s">
        <v>98</v>
      </c>
    </row>
    <row r="16" spans="1:78">
      <c r="A16" s="17" t="s">
        <v>79</v>
      </c>
      <c r="B16" s="189"/>
      <c r="C16" s="125"/>
      <c r="D16" s="20">
        <f>B16-C16</f>
        <v>0</v>
      </c>
      <c r="F16" s="40"/>
      <c r="G16" s="40"/>
      <c r="H16" s="40"/>
      <c r="I16" s="40"/>
      <c r="J16" s="40"/>
      <c r="K16" s="40"/>
      <c r="L16" s="40"/>
    </row>
    <row r="17" spans="1:12" hidden="1">
      <c r="E17" s="20"/>
      <c r="F17" s="128" t="s">
        <v>82</v>
      </c>
      <c r="G17" s="81"/>
      <c r="H17" s="81"/>
      <c r="I17" s="81"/>
      <c r="J17" s="81"/>
      <c r="K17" s="81"/>
      <c r="L17" s="81"/>
    </row>
    <row r="18" spans="1:12" hidden="1">
      <c r="A18" s="64" t="s">
        <v>78</v>
      </c>
      <c r="B18" s="65"/>
      <c r="C18" s="66"/>
      <c r="D18" s="66"/>
      <c r="E18" s="20"/>
      <c r="F18" s="92"/>
      <c r="G18" s="91" t="s">
        <v>10</v>
      </c>
      <c r="H18" s="81"/>
      <c r="I18" s="81"/>
      <c r="J18" s="81"/>
      <c r="K18" s="81"/>
      <c r="L18" s="81"/>
    </row>
    <row r="19" spans="1:12" hidden="1">
      <c r="A19" s="64"/>
      <c r="B19" s="67" t="s">
        <v>19</v>
      </c>
      <c r="C19" s="68" t="s">
        <v>20</v>
      </c>
      <c r="D19" s="68" t="s">
        <v>21</v>
      </c>
      <c r="F19" s="90" t="s">
        <v>2</v>
      </c>
      <c r="G19" s="99"/>
      <c r="H19" s="81"/>
      <c r="I19" s="81"/>
      <c r="J19" s="81"/>
      <c r="K19" s="81"/>
      <c r="L19" s="81"/>
    </row>
    <row r="20" spans="1:12" hidden="1">
      <c r="A20" s="69" t="s">
        <v>5</v>
      </c>
      <c r="B20" s="70" t="e">
        <f>SUM(B21:B23)</f>
        <v>#DIV/0!</v>
      </c>
      <c r="C20" s="70">
        <f>SUM(C21:C23)</f>
        <v>0</v>
      </c>
      <c r="D20" s="70" t="e">
        <f>B20-C20</f>
        <v>#DIV/0!</v>
      </c>
      <c r="E20" s="20"/>
      <c r="F20" s="89" t="s">
        <v>3</v>
      </c>
      <c r="G20" s="189"/>
      <c r="H20" s="81"/>
      <c r="I20" s="81"/>
      <c r="J20" s="81"/>
      <c r="K20" s="81"/>
      <c r="L20" s="81"/>
    </row>
    <row r="21" spans="1:12" hidden="1">
      <c r="A21" s="69" t="s">
        <v>16</v>
      </c>
      <c r="B21" s="70" t="e">
        <f>IF($B$8="",ROUND($B$7*$B$24*50%,2),ROUND(($B$7-$B$8)*$B$24*0.8,2))</f>
        <v>#DIV/0!</v>
      </c>
      <c r="C21" s="70"/>
      <c r="D21" s="70" t="e">
        <f t="shared" ref="D21:D23" si="0">B21-C21</f>
        <v>#DIV/0!</v>
      </c>
      <c r="F21" s="89" t="s">
        <v>5</v>
      </c>
      <c r="G21" s="189"/>
      <c r="H21" s="101" t="s">
        <v>69</v>
      </c>
      <c r="I21" s="81"/>
      <c r="J21" s="81"/>
      <c r="K21" s="81"/>
      <c r="L21" s="81"/>
    </row>
    <row r="22" spans="1:12" hidden="1">
      <c r="A22" s="71" t="s">
        <v>12</v>
      </c>
      <c r="B22" s="70" t="e">
        <f>IF($B$8="",ROUND($B$7*$B$24*25%,2),ROUND(($B$7-$B$8)*$B$24*0.2,2))</f>
        <v>#DIV/0!</v>
      </c>
      <c r="C22" s="66"/>
      <c r="D22" s="70" t="e">
        <f t="shared" si="0"/>
        <v>#DIV/0!</v>
      </c>
      <c r="E22" s="25" t="e">
        <f>IF(SUM(D29:D30)=D28,"","ERROR")</f>
        <v>#DIV/0!</v>
      </c>
      <c r="F22" s="93" t="s">
        <v>6</v>
      </c>
      <c r="G22" s="189"/>
      <c r="H22" s="102" t="s">
        <v>70</v>
      </c>
      <c r="I22" s="81"/>
      <c r="J22" s="81"/>
      <c r="K22" s="81"/>
      <c r="L22" s="81"/>
    </row>
    <row r="23" spans="1:12" ht="15" hidden="1" customHeight="1">
      <c r="A23" s="71" t="s">
        <v>13</v>
      </c>
      <c r="B23" s="70" t="e">
        <f>IF($B$8="",ROUND($B$7*$B$24*25%,2),ROUND($B$8*$B$24,2))</f>
        <v>#DIV/0!</v>
      </c>
      <c r="C23" s="70"/>
      <c r="D23" s="70" t="e">
        <f t="shared" si="0"/>
        <v>#DIV/0!</v>
      </c>
      <c r="F23" s="94" t="s">
        <v>15</v>
      </c>
      <c r="G23" s="100">
        <f>G20+G21</f>
        <v>0</v>
      </c>
      <c r="H23" s="86"/>
      <c r="I23" s="81"/>
      <c r="J23" s="81"/>
      <c r="K23" s="81"/>
      <c r="L23" s="81"/>
    </row>
    <row r="24" spans="1:12" hidden="1">
      <c r="A24" s="95" t="s">
        <v>83</v>
      </c>
      <c r="B24" s="96" t="e">
        <f>D16/B9</f>
        <v>#DIV/0!</v>
      </c>
      <c r="C24" s="66"/>
      <c r="D24" s="66"/>
      <c r="F24" s="81"/>
      <c r="G24" s="81"/>
      <c r="H24" s="81"/>
      <c r="I24" s="81"/>
      <c r="J24" s="81"/>
      <c r="K24" s="81"/>
      <c r="L24" s="81"/>
    </row>
    <row r="25" spans="1:12" hidden="1">
      <c r="F25" s="94"/>
      <c r="G25" s="91" t="s">
        <v>8</v>
      </c>
      <c r="H25" s="91" t="s">
        <v>9</v>
      </c>
      <c r="I25" s="91" t="s">
        <v>10</v>
      </c>
      <c r="J25" s="81"/>
      <c r="K25" s="81"/>
      <c r="L25" s="81"/>
    </row>
    <row r="26" spans="1:12" hidden="1">
      <c r="A26" s="72" t="s">
        <v>14</v>
      </c>
      <c r="B26" s="73"/>
      <c r="C26" s="74"/>
      <c r="D26" s="74"/>
      <c r="F26" s="90"/>
      <c r="G26" s="99"/>
      <c r="H26" s="103"/>
      <c r="I26" s="81"/>
      <c r="J26" s="81"/>
      <c r="K26" s="81"/>
      <c r="L26" s="81"/>
    </row>
    <row r="27" spans="1:12" hidden="1">
      <c r="A27" s="72"/>
      <c r="B27" s="75" t="s">
        <v>19</v>
      </c>
      <c r="C27" s="76" t="s">
        <v>20</v>
      </c>
      <c r="D27" s="76" t="s">
        <v>21</v>
      </c>
      <c r="F27" s="89" t="s">
        <v>80</v>
      </c>
      <c r="G27" s="189"/>
      <c r="H27" s="189"/>
      <c r="I27" s="104">
        <f>G27-H27</f>
        <v>0</v>
      </c>
      <c r="J27" s="81"/>
      <c r="K27" s="81"/>
      <c r="L27" s="81"/>
    </row>
    <row r="28" spans="1:12" hidden="1">
      <c r="A28" s="77" t="s">
        <v>5</v>
      </c>
      <c r="B28" s="78" t="e">
        <f>SUM(B29:B30)</f>
        <v>#DIV/0!</v>
      </c>
      <c r="C28" s="78">
        <f>SUM(C29:C30)</f>
        <v>0</v>
      </c>
      <c r="D28" s="78" t="e">
        <f>B28-C28</f>
        <v>#DIV/0!</v>
      </c>
      <c r="F28" s="89" t="s">
        <v>86</v>
      </c>
      <c r="G28" s="189"/>
      <c r="H28" s="189"/>
      <c r="I28" s="104">
        <f t="shared" ref="I28:I29" si="1">G28-H28</f>
        <v>0</v>
      </c>
      <c r="J28" s="81"/>
      <c r="K28" s="81"/>
      <c r="L28" s="81"/>
    </row>
    <row r="29" spans="1:12" hidden="1">
      <c r="A29" s="79" t="s">
        <v>81</v>
      </c>
      <c r="B29" s="78" t="e">
        <f>IF($B$8="",ROUND($B$7*$B$31,2),ROUND(($B$7-$B$8)*$B$31,2))</f>
        <v>#DIV/0!</v>
      </c>
      <c r="C29" s="78">
        <f>$D$14</f>
        <v>0</v>
      </c>
      <c r="D29" s="78" t="e">
        <f t="shared" ref="D29:D30" si="2">B29-C29</f>
        <v>#DIV/0!</v>
      </c>
      <c r="F29" s="90" t="s">
        <v>87</v>
      </c>
      <c r="G29" s="104">
        <f>SUM(G27:G28)</f>
        <v>0</v>
      </c>
      <c r="H29" s="104">
        <f>SUM(H27:H28)</f>
        <v>0</v>
      </c>
      <c r="I29" s="104">
        <f t="shared" si="1"/>
        <v>0</v>
      </c>
      <c r="J29" s="81"/>
      <c r="K29" s="81"/>
      <c r="L29" s="81"/>
    </row>
    <row r="30" spans="1:12" hidden="1">
      <c r="A30" s="79" t="s">
        <v>13</v>
      </c>
      <c r="B30" s="78">
        <f>IF($B$8="",0,ROUND($B$8*$B$31,2))</f>
        <v>0</v>
      </c>
      <c r="C30" s="78">
        <f>D15</f>
        <v>0</v>
      </c>
      <c r="D30" s="78">
        <f t="shared" si="2"/>
        <v>0</v>
      </c>
      <c r="F30" s="90"/>
      <c r="G30" s="99"/>
      <c r="H30" s="81"/>
      <c r="I30" s="104"/>
      <c r="J30" s="81"/>
      <c r="K30" s="81"/>
      <c r="L30" s="81"/>
    </row>
    <row r="31" spans="1:12" hidden="1">
      <c r="A31" s="97" t="s">
        <v>84</v>
      </c>
      <c r="B31" s="98" t="e">
        <f>MIN(D13/B9,1)</f>
        <v>#DIV/0!</v>
      </c>
      <c r="C31" s="74"/>
      <c r="D31" s="78"/>
      <c r="F31" s="90" t="s">
        <v>89</v>
      </c>
      <c r="G31" s="81"/>
      <c r="H31" s="81"/>
      <c r="I31" s="81"/>
      <c r="J31" s="81"/>
      <c r="K31" s="81"/>
      <c r="L31" s="81"/>
    </row>
    <row r="32" spans="1:12" hidden="1">
      <c r="B32" s="6" t="s">
        <v>92</v>
      </c>
      <c r="F32" s="88" t="s">
        <v>59</v>
      </c>
      <c r="G32" s="112" t="e">
        <f>ROUND(G21*G36,2)</f>
        <v>#DIV/0!</v>
      </c>
      <c r="H32" s="81"/>
      <c r="I32" s="81"/>
      <c r="J32" s="81"/>
      <c r="K32" s="81"/>
      <c r="L32" s="81"/>
    </row>
    <row r="33" spans="6:12" hidden="1">
      <c r="F33" s="113" t="s">
        <v>49</v>
      </c>
      <c r="G33" s="114" t="e">
        <f>IF(G22="",ROUND(G32*0.2,2),ROUND((G32-G35)/2,2))</f>
        <v>#DIV/0!</v>
      </c>
      <c r="H33" s="81"/>
      <c r="I33" s="81"/>
      <c r="J33" s="81"/>
      <c r="K33" s="81"/>
      <c r="L33" s="81"/>
    </row>
    <row r="34" spans="6:12" hidden="1">
      <c r="F34" s="115" t="s">
        <v>50</v>
      </c>
      <c r="G34" s="114" t="e">
        <f>G32-G33-G35</f>
        <v>#DIV/0!</v>
      </c>
      <c r="H34" s="81"/>
      <c r="I34" s="81"/>
      <c r="J34" s="81"/>
      <c r="K34" s="81"/>
      <c r="L34" s="81"/>
    </row>
    <row r="35" spans="6:12" hidden="1">
      <c r="F35" s="115" t="s">
        <v>13</v>
      </c>
      <c r="G35" s="114" t="e">
        <f>IF(G22="",ROUND(G32*0.6,2),ROUND(G22*G36,2))</f>
        <v>#DIV/0!</v>
      </c>
      <c r="H35" s="81"/>
      <c r="I35" s="81"/>
      <c r="J35" s="81"/>
      <c r="K35" s="81"/>
      <c r="L35" s="81"/>
    </row>
    <row r="36" spans="6:12" hidden="1">
      <c r="F36" s="116" t="s">
        <v>88</v>
      </c>
      <c r="G36" s="117" t="e">
        <f>I28/G23</f>
        <v>#DIV/0!</v>
      </c>
      <c r="H36" s="81"/>
      <c r="I36" s="81"/>
      <c r="J36" s="81"/>
      <c r="K36" s="81"/>
      <c r="L36" s="81"/>
    </row>
    <row r="37" spans="6:12" hidden="1">
      <c r="F37" s="81"/>
      <c r="G37" s="81"/>
      <c r="H37" s="81"/>
      <c r="I37" s="81"/>
      <c r="J37" s="81"/>
      <c r="K37" s="81"/>
      <c r="L37" s="81"/>
    </row>
    <row r="38" spans="6:12" hidden="1">
      <c r="F38" s="81"/>
      <c r="G38" s="81"/>
      <c r="H38" s="81"/>
      <c r="I38" s="81"/>
      <c r="J38" s="81"/>
      <c r="K38" s="81"/>
      <c r="L38" s="81"/>
    </row>
    <row r="39" spans="6:12" hidden="1">
      <c r="F39" s="81"/>
      <c r="G39" s="81"/>
      <c r="H39" s="81"/>
      <c r="I39" s="81"/>
      <c r="J39" s="81"/>
      <c r="K39" s="81"/>
      <c r="L39" s="81"/>
    </row>
    <row r="40" spans="6:12" hidden="1">
      <c r="F40" s="81"/>
      <c r="G40" s="81"/>
      <c r="H40" s="81"/>
      <c r="I40" s="81"/>
      <c r="J40" s="81"/>
      <c r="K40" s="81"/>
      <c r="L40" s="81"/>
    </row>
    <row r="41" spans="6:12" hidden="1">
      <c r="F41" s="81"/>
      <c r="G41" s="81"/>
      <c r="H41" s="81"/>
      <c r="I41" s="81"/>
      <c r="J41" s="81"/>
      <c r="K41" s="81"/>
      <c r="L41" s="81"/>
    </row>
    <row r="42" spans="6:12" hidden="1">
      <c r="F42" s="81"/>
      <c r="G42" s="81"/>
      <c r="H42" s="81"/>
      <c r="I42" s="81"/>
      <c r="J42" s="81"/>
      <c r="K42" s="81"/>
      <c r="L42" s="81"/>
    </row>
    <row r="43" spans="6:12" hidden="1">
      <c r="F43" s="81"/>
      <c r="G43" s="81"/>
      <c r="H43" s="81"/>
      <c r="I43" s="81"/>
      <c r="J43" s="81"/>
      <c r="K43" s="81"/>
      <c r="L43" s="81"/>
    </row>
    <row r="44" spans="6:12" hidden="1">
      <c r="F44" s="81"/>
      <c r="G44" s="81"/>
      <c r="H44" s="81"/>
      <c r="I44" s="81"/>
      <c r="J44" s="81"/>
      <c r="K44" s="81"/>
      <c r="L44" s="81"/>
    </row>
    <row r="45" spans="6:12" hidden="1">
      <c r="F45" s="81"/>
      <c r="G45" s="81"/>
      <c r="H45" s="81"/>
      <c r="I45" s="81"/>
      <c r="J45" s="81"/>
      <c r="K45" s="81"/>
      <c r="L45" s="81"/>
    </row>
    <row r="46" spans="6:12" hidden="1">
      <c r="F46" s="81"/>
      <c r="G46" s="81"/>
      <c r="H46" s="81"/>
      <c r="I46" s="81"/>
      <c r="J46" s="81"/>
      <c r="K46" s="81"/>
      <c r="L46" s="81"/>
    </row>
    <row r="47" spans="6:12" hidden="1">
      <c r="F47" s="81"/>
      <c r="G47" s="81"/>
      <c r="H47" s="81"/>
      <c r="I47" s="81"/>
      <c r="J47" s="81"/>
      <c r="K47" s="81"/>
      <c r="L47" s="81"/>
    </row>
    <row r="48" spans="6:12" hidden="1">
      <c r="F48" s="81"/>
      <c r="G48" s="81"/>
      <c r="H48" s="81"/>
      <c r="I48" s="81"/>
      <c r="J48" s="81"/>
      <c r="K48" s="81"/>
      <c r="L48" s="81"/>
    </row>
    <row r="49" spans="6:12" hidden="1">
      <c r="F49" s="81"/>
      <c r="G49" s="81"/>
      <c r="H49" s="81"/>
      <c r="I49" s="81"/>
      <c r="J49" s="81"/>
      <c r="K49" s="81"/>
      <c r="L49" s="81"/>
    </row>
    <row r="50" spans="6:12" hidden="1">
      <c r="F50" s="81"/>
      <c r="G50" s="81"/>
      <c r="H50" s="81"/>
      <c r="I50" s="81"/>
      <c r="J50" s="81"/>
      <c r="K50" s="81"/>
      <c r="L50" s="81"/>
    </row>
    <row r="51" spans="6:12">
      <c r="F51" s="199" t="s">
        <v>108</v>
      </c>
      <c r="G51" s="199"/>
      <c r="H51" s="199"/>
      <c r="I51" s="199"/>
      <c r="J51" s="199"/>
      <c r="K51" s="199"/>
      <c r="L51" s="199"/>
    </row>
    <row r="52" spans="6:12">
      <c r="F52" s="199"/>
      <c r="G52" s="199"/>
      <c r="H52" s="199"/>
      <c r="I52" s="199"/>
      <c r="J52" s="199"/>
      <c r="K52" s="199"/>
      <c r="L52" s="199"/>
    </row>
  </sheetData>
  <sheetProtection password="8F4F" sheet="1" objects="1" scenarios="1" selectLockedCells="1"/>
  <mergeCells count="2">
    <mergeCell ref="C8:D8"/>
    <mergeCell ref="F51:L52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opLeftCell="F1" workbookViewId="0">
      <selection activeCell="J63" sqref="J63"/>
    </sheetView>
  </sheetViews>
  <sheetFormatPr defaultRowHeight="15"/>
  <cols>
    <col min="1" max="1" width="53.7109375" style="8" hidden="1" customWidth="1"/>
    <col min="2" max="2" width="18.7109375" style="7" hidden="1" customWidth="1"/>
    <col min="3" max="3" width="19.140625" style="8" hidden="1" customWidth="1"/>
    <col min="4" max="4" width="14.7109375" style="8" hidden="1" customWidth="1"/>
    <col min="5" max="5" width="11.85546875" style="8" hidden="1" customWidth="1"/>
    <col min="6" max="6" width="33.42578125" style="9" customWidth="1"/>
    <col min="7" max="7" width="16" style="9" customWidth="1"/>
    <col min="8" max="8" width="12.42578125" style="9" customWidth="1"/>
    <col min="9" max="9" width="13.28515625" style="9" customWidth="1"/>
    <col min="10" max="10" width="23.140625" style="9" customWidth="1"/>
    <col min="11" max="16384" width="9.140625" style="8"/>
  </cols>
  <sheetData>
    <row r="1" spans="1:10">
      <c r="A1" s="6" t="s">
        <v>31</v>
      </c>
      <c r="F1" s="10" t="s">
        <v>103</v>
      </c>
    </row>
    <row r="2" spans="1:10">
      <c r="A2" s="8" t="s">
        <v>18</v>
      </c>
      <c r="F2" s="127" t="s">
        <v>95</v>
      </c>
    </row>
    <row r="3" spans="1:10">
      <c r="A3" s="6" t="s">
        <v>2</v>
      </c>
      <c r="F3" s="18" t="s">
        <v>53</v>
      </c>
    </row>
    <row r="4" spans="1:10" s="16" customFormat="1">
      <c r="A4" s="11"/>
      <c r="B4" s="12" t="s">
        <v>10</v>
      </c>
      <c r="C4" s="8"/>
      <c r="D4" s="8"/>
      <c r="E4" s="13"/>
      <c r="F4" s="14"/>
      <c r="G4" s="15" t="s">
        <v>93</v>
      </c>
      <c r="H4" s="9"/>
      <c r="I4" s="9"/>
      <c r="J4" s="9"/>
    </row>
    <row r="5" spans="1:10">
      <c r="A5" s="6"/>
      <c r="C5" s="7"/>
      <c r="D5" s="20"/>
      <c r="F5" s="18" t="s">
        <v>71</v>
      </c>
      <c r="G5" s="1"/>
      <c r="H5" s="19"/>
    </row>
    <row r="6" spans="1:10">
      <c r="A6" s="6" t="s">
        <v>15</v>
      </c>
      <c r="B6" s="189">
        <v>2915000</v>
      </c>
      <c r="F6" s="18" t="s">
        <v>39</v>
      </c>
      <c r="G6" s="1"/>
      <c r="H6" s="19"/>
    </row>
    <row r="7" spans="1:10">
      <c r="A7" s="26" t="s">
        <v>5</v>
      </c>
      <c r="B7" s="189">
        <v>275000</v>
      </c>
      <c r="C7" s="23" t="s">
        <v>69</v>
      </c>
      <c r="D7" s="20"/>
      <c r="F7" s="18" t="s">
        <v>72</v>
      </c>
      <c r="G7" s="24">
        <f>G5-G6</f>
        <v>0</v>
      </c>
      <c r="H7" s="19"/>
    </row>
    <row r="8" spans="1:10" ht="30" customHeight="1" thickBot="1">
      <c r="A8" s="26" t="s">
        <v>6</v>
      </c>
      <c r="B8" s="189">
        <v>0</v>
      </c>
      <c r="C8" s="198" t="s">
        <v>70</v>
      </c>
      <c r="D8" s="198"/>
      <c r="E8" s="25"/>
      <c r="F8" s="18" t="s">
        <v>40</v>
      </c>
      <c r="G8" s="24">
        <f>G5*10%</f>
        <v>0</v>
      </c>
    </row>
    <row r="9" spans="1:10">
      <c r="A9" s="26"/>
      <c r="B9" s="8"/>
      <c r="F9" s="29" t="s">
        <v>41</v>
      </c>
      <c r="G9" s="30" t="e">
        <f>ROUND($G$8*$G$7/$G$5,2)</f>
        <v>#DIV/0!</v>
      </c>
    </row>
    <row r="10" spans="1:10">
      <c r="B10" s="12" t="s">
        <v>8</v>
      </c>
      <c r="C10" s="12" t="s">
        <v>9</v>
      </c>
      <c r="D10" s="12" t="s">
        <v>10</v>
      </c>
      <c r="F10" s="31" t="s">
        <v>16</v>
      </c>
      <c r="G10" s="32" t="e">
        <f>ROUND($G$9*0.25,2)</f>
        <v>#DIV/0!</v>
      </c>
    </row>
    <row r="11" spans="1:10">
      <c r="A11" s="17" t="s">
        <v>11</v>
      </c>
      <c r="C11" s="28"/>
      <c r="F11" s="33" t="s">
        <v>12</v>
      </c>
      <c r="G11" s="32" t="e">
        <f>ROUND($G$9*0.25,2)</f>
        <v>#DIV/0!</v>
      </c>
    </row>
    <row r="12" spans="1:10" ht="15.75" thickBot="1">
      <c r="A12" s="6" t="s">
        <v>80</v>
      </c>
      <c r="B12" s="189">
        <v>1790000</v>
      </c>
      <c r="C12" s="189">
        <v>230000</v>
      </c>
      <c r="D12" s="20">
        <f>B12-C12</f>
        <v>1560000</v>
      </c>
      <c r="E12" s="25"/>
      <c r="F12" s="34" t="s">
        <v>13</v>
      </c>
      <c r="G12" s="35" t="e">
        <f>ROUND($G$9*0.5,2)</f>
        <v>#DIV/0!</v>
      </c>
    </row>
    <row r="13" spans="1:10">
      <c r="A13" s="6" t="s">
        <v>1</v>
      </c>
      <c r="B13" s="189">
        <v>78000</v>
      </c>
      <c r="C13" s="20"/>
      <c r="D13" s="20">
        <f>B13-C13</f>
        <v>78000</v>
      </c>
      <c r="E13" s="25"/>
    </row>
    <row r="14" spans="1:10">
      <c r="A14" s="6" t="s">
        <v>27</v>
      </c>
      <c r="B14" s="189"/>
      <c r="C14" s="20"/>
      <c r="D14" s="20">
        <f>B14-C14</f>
        <v>0</v>
      </c>
      <c r="E14" s="25"/>
    </row>
    <row r="15" spans="1:10" hidden="1">
      <c r="A15" s="17" t="s">
        <v>79</v>
      </c>
      <c r="B15" s="189">
        <v>300000</v>
      </c>
      <c r="C15" s="189"/>
      <c r="D15" s="20">
        <f>B15-C15</f>
        <v>300000</v>
      </c>
      <c r="F15" s="90" t="s">
        <v>82</v>
      </c>
      <c r="G15" s="81"/>
      <c r="H15" s="81"/>
      <c r="I15" s="81"/>
      <c r="J15" s="81"/>
    </row>
    <row r="16" spans="1:10" hidden="1">
      <c r="A16" s="17"/>
      <c r="E16" s="20"/>
      <c r="F16" s="92"/>
      <c r="G16" s="91" t="s">
        <v>10</v>
      </c>
      <c r="H16" s="81"/>
      <c r="I16" s="81"/>
      <c r="J16" s="81"/>
    </row>
    <row r="17" spans="1:10" hidden="1">
      <c r="A17" s="64" t="s">
        <v>78</v>
      </c>
      <c r="B17" s="65"/>
      <c r="C17" s="66"/>
      <c r="D17" s="66"/>
      <c r="E17" s="20"/>
      <c r="F17" s="90" t="s">
        <v>2</v>
      </c>
      <c r="G17" s="99"/>
      <c r="H17" s="81"/>
      <c r="I17" s="81"/>
      <c r="J17" s="81"/>
    </row>
    <row r="18" spans="1:10" hidden="1">
      <c r="A18" s="64"/>
      <c r="B18" s="67" t="s">
        <v>19</v>
      </c>
      <c r="C18" s="68" t="s">
        <v>20</v>
      </c>
      <c r="D18" s="68" t="s">
        <v>21</v>
      </c>
      <c r="F18" s="89" t="s">
        <v>3</v>
      </c>
      <c r="G18" s="189"/>
      <c r="H18" s="81"/>
      <c r="I18" s="81"/>
      <c r="J18" s="81"/>
    </row>
    <row r="19" spans="1:10" hidden="1">
      <c r="A19" s="69" t="s">
        <v>5</v>
      </c>
      <c r="B19" s="70">
        <f>SUM(B20:B22)</f>
        <v>28301.89</v>
      </c>
      <c r="C19" s="70">
        <f>SUM(C20:C22)</f>
        <v>0</v>
      </c>
      <c r="D19" s="70">
        <f>B19-C19</f>
        <v>28301.89</v>
      </c>
      <c r="E19" s="20"/>
      <c r="F19" s="89" t="s">
        <v>5</v>
      </c>
      <c r="G19" s="189"/>
      <c r="H19" s="101" t="s">
        <v>69</v>
      </c>
      <c r="I19" s="81"/>
      <c r="J19" s="81"/>
    </row>
    <row r="20" spans="1:10" hidden="1">
      <c r="A20" s="69" t="s">
        <v>16</v>
      </c>
      <c r="B20" s="70">
        <f>IF($B$8="",ROUND($B$7*$B$23*50%,2),ROUND(($B$7-$B$8)*$B$23*0.8,2))</f>
        <v>22641.51</v>
      </c>
      <c r="C20" s="70"/>
      <c r="D20" s="70">
        <f t="shared" ref="D20:D22" si="0">B20-C20</f>
        <v>22641.51</v>
      </c>
      <c r="F20" s="93" t="s">
        <v>6</v>
      </c>
      <c r="G20" s="189"/>
      <c r="H20" s="102" t="s">
        <v>70</v>
      </c>
      <c r="I20" s="81"/>
      <c r="J20" s="81"/>
    </row>
    <row r="21" spans="1:10" hidden="1">
      <c r="A21" s="71" t="s">
        <v>12</v>
      </c>
      <c r="B21" s="70">
        <f>IF($B$8="",ROUND($B$7*$B$23*25%,2),ROUND(($B$7-$B$8)*$B$23*0.2,2))</f>
        <v>5660.38</v>
      </c>
      <c r="C21" s="66"/>
      <c r="D21" s="70">
        <f t="shared" si="0"/>
        <v>5660.38</v>
      </c>
      <c r="E21" s="25"/>
      <c r="F21" s="94" t="s">
        <v>15</v>
      </c>
      <c r="G21" s="100">
        <f>G18+G19</f>
        <v>0</v>
      </c>
      <c r="H21" s="86"/>
      <c r="I21" s="81"/>
      <c r="J21" s="81"/>
    </row>
    <row r="22" spans="1:10" hidden="1">
      <c r="A22" s="71" t="s">
        <v>13</v>
      </c>
      <c r="B22" s="70">
        <f>IF($B$8="",ROUND($B$7*$B$23*25%,2),ROUND($B$8*$B$23,2))</f>
        <v>0</v>
      </c>
      <c r="C22" s="70"/>
      <c r="D22" s="70">
        <f t="shared" si="0"/>
        <v>0</v>
      </c>
      <c r="F22" s="81"/>
      <c r="G22" s="81"/>
      <c r="H22" s="81"/>
      <c r="I22" s="81"/>
      <c r="J22" s="81"/>
    </row>
    <row r="23" spans="1:10" hidden="1">
      <c r="A23" s="95" t="s">
        <v>83</v>
      </c>
      <c r="B23" s="96">
        <f>D15/B6</f>
        <v>0.10291595197255575</v>
      </c>
      <c r="C23" s="66"/>
      <c r="D23" s="66"/>
      <c r="F23" s="94"/>
      <c r="G23" s="91" t="s">
        <v>8</v>
      </c>
      <c r="H23" s="91" t="s">
        <v>9</v>
      </c>
      <c r="I23" s="91" t="s">
        <v>10</v>
      </c>
      <c r="J23" s="81"/>
    </row>
    <row r="24" spans="1:10" hidden="1">
      <c r="F24" s="90"/>
      <c r="G24" s="99"/>
      <c r="H24" s="103"/>
      <c r="I24" s="81"/>
      <c r="J24" s="81"/>
    </row>
    <row r="25" spans="1:10" hidden="1">
      <c r="A25" s="72" t="s">
        <v>14</v>
      </c>
      <c r="B25" s="73"/>
      <c r="C25" s="74"/>
      <c r="D25" s="74"/>
      <c r="F25" s="89" t="s">
        <v>80</v>
      </c>
      <c r="G25" s="189"/>
      <c r="H25" s="189"/>
      <c r="I25" s="104">
        <f>G25-H25</f>
        <v>0</v>
      </c>
      <c r="J25" s="81"/>
    </row>
    <row r="26" spans="1:10" hidden="1">
      <c r="A26" s="72"/>
      <c r="B26" s="75" t="s">
        <v>19</v>
      </c>
      <c r="C26" s="76" t="s">
        <v>20</v>
      </c>
      <c r="D26" s="76" t="s">
        <v>21</v>
      </c>
      <c r="F26" s="89" t="s">
        <v>55</v>
      </c>
      <c r="G26" s="189"/>
      <c r="H26" s="189"/>
      <c r="I26" s="104">
        <f t="shared" ref="I26:I27" si="1">G26-H26</f>
        <v>0</v>
      </c>
      <c r="J26" s="81"/>
    </row>
    <row r="27" spans="1:10" hidden="1">
      <c r="A27" s="77" t="s">
        <v>5</v>
      </c>
      <c r="B27" s="78"/>
      <c r="C27" s="78"/>
      <c r="D27" s="78"/>
      <c r="F27" s="90" t="s">
        <v>87</v>
      </c>
      <c r="G27" s="104">
        <f>SUM(G25:G26)</f>
        <v>0</v>
      </c>
      <c r="H27" s="104">
        <f>SUM(H25:H26)</f>
        <v>0</v>
      </c>
      <c r="I27" s="104">
        <f t="shared" si="1"/>
        <v>0</v>
      </c>
      <c r="J27" s="81"/>
    </row>
    <row r="28" spans="1:10" hidden="1">
      <c r="A28" s="79" t="s">
        <v>81</v>
      </c>
      <c r="B28" s="78">
        <f>IF($B$8="",ROUND($B$7*$B$30,2),ROUND(($B$7-$B$8)*$B$30,2))</f>
        <v>147169.81</v>
      </c>
      <c r="C28" s="78">
        <f>$D$13</f>
        <v>78000</v>
      </c>
      <c r="D28" s="200">
        <f>SUM(B28:B29,-C28,-C29)</f>
        <v>69169.81</v>
      </c>
      <c r="F28" s="90"/>
      <c r="G28" s="99"/>
      <c r="H28" s="81"/>
      <c r="I28" s="104"/>
      <c r="J28" s="81"/>
    </row>
    <row r="29" spans="1:10" hidden="1">
      <c r="A29" s="79" t="s">
        <v>13</v>
      </c>
      <c r="B29" s="78">
        <f>IF($B$8="",0,ROUND($B$8*$B$30,2))</f>
        <v>0</v>
      </c>
      <c r="C29" s="78">
        <f>D14</f>
        <v>0</v>
      </c>
      <c r="D29" s="200"/>
      <c r="F29" s="90" t="s">
        <v>89</v>
      </c>
      <c r="G29" s="81"/>
      <c r="H29" s="81"/>
      <c r="I29" s="81"/>
      <c r="J29" s="81"/>
    </row>
    <row r="30" spans="1:10" hidden="1">
      <c r="A30" s="97" t="s">
        <v>84</v>
      </c>
      <c r="B30" s="98">
        <f>MIN(D12/B6,1)</f>
        <v>0.53516295025728988</v>
      </c>
      <c r="C30" s="74"/>
      <c r="D30" s="78"/>
      <c r="F30" s="88" t="s">
        <v>59</v>
      </c>
      <c r="G30" s="112" t="e">
        <f>ROUND(G19*G34,2)</f>
        <v>#DIV/0!</v>
      </c>
      <c r="H30" s="81"/>
      <c r="I30" s="81"/>
      <c r="J30" s="81"/>
    </row>
    <row r="31" spans="1:10" hidden="1">
      <c r="B31" s="6" t="s">
        <v>92</v>
      </c>
      <c r="F31" s="113" t="s">
        <v>16</v>
      </c>
      <c r="G31" s="114" t="e">
        <f>ROUND(G30/2,2)</f>
        <v>#DIV/0!</v>
      </c>
      <c r="H31" s="81"/>
      <c r="I31" s="82"/>
      <c r="J31" s="83"/>
    </row>
    <row r="32" spans="1:10" hidden="1">
      <c r="F32" s="115" t="s">
        <v>12</v>
      </c>
      <c r="G32" s="114" t="e">
        <f>G30-G31-G33</f>
        <v>#DIV/0!</v>
      </c>
      <c r="H32" s="81"/>
      <c r="I32" s="85"/>
      <c r="J32" s="86" t="s">
        <v>60</v>
      </c>
    </row>
    <row r="33" spans="6:12" hidden="1">
      <c r="F33" s="115" t="s">
        <v>13</v>
      </c>
      <c r="G33" s="114" t="e">
        <f>IF(G20="",ROUND((G30-G31)/2,2),ROUND(G20*G34,2))</f>
        <v>#DIV/0!</v>
      </c>
      <c r="H33" s="81"/>
      <c r="I33" s="85"/>
      <c r="J33" s="88" t="s">
        <v>61</v>
      </c>
    </row>
    <row r="34" spans="6:12" hidden="1">
      <c r="F34" s="116" t="s">
        <v>83</v>
      </c>
      <c r="G34" s="117" t="e">
        <f>I26/G21</f>
        <v>#DIV/0!</v>
      </c>
      <c r="H34" s="81"/>
      <c r="I34" s="85"/>
      <c r="J34" s="105" t="s">
        <v>59</v>
      </c>
      <c r="K34" s="8" t="e">
        <f>ROUND(G19*K38,2)</f>
        <v>#DIV/0!</v>
      </c>
    </row>
    <row r="35" spans="6:12" hidden="1">
      <c r="F35" s="81"/>
      <c r="G35" s="81"/>
      <c r="H35" s="81"/>
      <c r="I35" s="85"/>
      <c r="J35" s="107" t="s">
        <v>16</v>
      </c>
      <c r="K35" s="8" t="e">
        <f>ROUND($K$34*50%,2)</f>
        <v>#DIV/0!</v>
      </c>
    </row>
    <row r="36" spans="6:12" hidden="1">
      <c r="F36" s="81"/>
      <c r="G36" s="81"/>
      <c r="H36" s="81"/>
      <c r="I36" s="85"/>
      <c r="J36" s="109" t="s">
        <v>12</v>
      </c>
      <c r="K36" s="8" t="e">
        <f>K34-K35-K37</f>
        <v>#DIV/0!</v>
      </c>
    </row>
    <row r="37" spans="6:12" ht="15.75" hidden="1" thickBot="1">
      <c r="F37" s="81"/>
      <c r="G37" s="81"/>
      <c r="H37" s="81"/>
      <c r="I37" s="85"/>
      <c r="J37" s="110" t="s">
        <v>13</v>
      </c>
      <c r="K37" s="8" t="e">
        <f>IF($G$20="",ROUND((K34-K35)/2,2),ROUND(G20*K38,2))</f>
        <v>#DIV/0!</v>
      </c>
    </row>
    <row r="38" spans="6:12" hidden="1">
      <c r="F38" s="81"/>
      <c r="G38" s="81"/>
      <c r="H38" s="81"/>
      <c r="I38" s="85"/>
      <c r="J38" s="118" t="s">
        <v>90</v>
      </c>
      <c r="K38" s="8" t="e">
        <f>I25/$G$21</f>
        <v>#DIV/0!</v>
      </c>
    </row>
    <row r="39" spans="6:12" hidden="1">
      <c r="F39" s="81"/>
      <c r="G39" s="81"/>
      <c r="H39" s="81"/>
      <c r="I39" s="85"/>
      <c r="J39" s="81"/>
    </row>
    <row r="40" spans="6:12" hidden="1">
      <c r="F40" s="81"/>
      <c r="G40" s="81"/>
      <c r="H40" s="81"/>
      <c r="I40" s="85"/>
      <c r="J40" s="88" t="s">
        <v>62</v>
      </c>
      <c r="L40" s="8" t="s">
        <v>63</v>
      </c>
    </row>
    <row r="41" spans="6:12" hidden="1">
      <c r="F41" s="81"/>
      <c r="G41" s="81"/>
      <c r="H41" s="81"/>
      <c r="I41" s="85"/>
      <c r="J41" s="105" t="s">
        <v>59</v>
      </c>
      <c r="K41" s="8" t="e">
        <f>ROUND(G19*K45,2)</f>
        <v>#DIV/0!</v>
      </c>
      <c r="L41" s="8" t="e">
        <f>K41-G30-K34</f>
        <v>#DIV/0!</v>
      </c>
    </row>
    <row r="42" spans="6:12" hidden="1">
      <c r="F42" s="81"/>
      <c r="G42" s="81"/>
      <c r="H42" s="81"/>
      <c r="I42" s="85"/>
      <c r="J42" s="107" t="s">
        <v>16</v>
      </c>
      <c r="K42" s="8" t="e">
        <f>ROUND($K$41*50%,2)</f>
        <v>#DIV/0!</v>
      </c>
      <c r="L42" s="8" t="e">
        <f>K42-G31-K35</f>
        <v>#DIV/0!</v>
      </c>
    </row>
    <row r="43" spans="6:12" hidden="1">
      <c r="F43" s="81"/>
      <c r="G43" s="81"/>
      <c r="H43" s="81"/>
      <c r="I43" s="85"/>
      <c r="J43" s="109" t="s">
        <v>12</v>
      </c>
      <c r="K43" s="8" t="e">
        <f>K41-K42-K44</f>
        <v>#DIV/0!</v>
      </c>
      <c r="L43" s="8" t="e">
        <f>K43-G32-K36</f>
        <v>#DIV/0!</v>
      </c>
    </row>
    <row r="44" spans="6:12" ht="15.75" hidden="1" thickBot="1">
      <c r="F44" s="81"/>
      <c r="G44" s="81"/>
      <c r="H44" s="81"/>
      <c r="I44" s="85"/>
      <c r="J44" s="110" t="s">
        <v>13</v>
      </c>
      <c r="K44" s="8" t="e">
        <f>IF($G$20="",ROUND((K41-K42)/2,2),ROUND(G20*K45,2))</f>
        <v>#DIV/0!</v>
      </c>
      <c r="L44" s="8" t="e">
        <f>K44-G33-K37</f>
        <v>#DIV/0!</v>
      </c>
    </row>
    <row r="45" spans="6:12" hidden="1">
      <c r="F45" s="81"/>
      <c r="G45" s="81"/>
      <c r="H45" s="81"/>
      <c r="I45" s="121"/>
      <c r="J45" s="122" t="s">
        <v>91</v>
      </c>
      <c r="K45" s="8" t="e">
        <f>I27/$G$21</f>
        <v>#DIV/0!</v>
      </c>
    </row>
    <row r="46" spans="6:12" hidden="1">
      <c r="F46" s="81"/>
      <c r="G46" s="81"/>
      <c r="H46" s="81"/>
      <c r="I46" s="81"/>
      <c r="J46" s="81"/>
    </row>
    <row r="47" spans="6:12" hidden="1">
      <c r="F47" s="81"/>
      <c r="G47" s="81"/>
      <c r="H47" s="81"/>
      <c r="I47" s="81"/>
      <c r="J47" s="81"/>
    </row>
    <row r="48" spans="6:12" hidden="1">
      <c r="F48" s="81"/>
      <c r="G48" s="81"/>
      <c r="H48" s="81"/>
      <c r="I48" s="81"/>
      <c r="J48" s="81"/>
    </row>
    <row r="49" spans="6:10" hidden="1"/>
    <row r="50" spans="6:10" ht="27" customHeight="1">
      <c r="F50" s="199" t="s">
        <v>108</v>
      </c>
      <c r="G50" s="199"/>
      <c r="H50" s="199"/>
      <c r="I50" s="199"/>
      <c r="J50" s="161"/>
    </row>
    <row r="51" spans="6:10" ht="36.75" customHeight="1">
      <c r="F51" s="199"/>
      <c r="G51" s="199"/>
      <c r="H51" s="199"/>
      <c r="I51" s="199"/>
      <c r="J51" s="161"/>
    </row>
  </sheetData>
  <sheetProtection selectLockedCells="1"/>
  <mergeCells count="3">
    <mergeCell ref="C8:D8"/>
    <mergeCell ref="D28:D29"/>
    <mergeCell ref="F50:I5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topLeftCell="F1" workbookViewId="0">
      <selection activeCell="K6" sqref="K6"/>
    </sheetView>
  </sheetViews>
  <sheetFormatPr defaultRowHeight="15"/>
  <cols>
    <col min="1" max="1" width="53.7109375" style="8" hidden="1" customWidth="1"/>
    <col min="2" max="2" width="18.7109375" style="7" hidden="1" customWidth="1"/>
    <col min="3" max="3" width="19.140625" style="8" hidden="1" customWidth="1"/>
    <col min="4" max="4" width="14.7109375" style="8" hidden="1" customWidth="1"/>
    <col min="5" max="5" width="11.85546875" style="8" hidden="1" customWidth="1"/>
    <col min="6" max="6" width="33.42578125" style="9" customWidth="1"/>
    <col min="7" max="7" width="16" style="9" customWidth="1"/>
    <col min="8" max="8" width="12.42578125" style="9" customWidth="1"/>
    <col min="9" max="9" width="13.28515625" style="9" customWidth="1"/>
    <col min="10" max="10" width="15.5703125" style="9" customWidth="1"/>
    <col min="11" max="11" width="15.85546875" style="9" customWidth="1"/>
    <col min="12" max="12" width="14.42578125" style="9" bestFit="1" customWidth="1"/>
    <col min="13" max="13" width="4" style="9" customWidth="1"/>
    <col min="14" max="17" width="9.140625" style="9"/>
    <col min="18" max="16384" width="9.140625" style="8"/>
  </cols>
  <sheetData>
    <row r="1" spans="1:17">
      <c r="A1" s="6" t="s">
        <v>31</v>
      </c>
      <c r="F1" s="10" t="s">
        <v>104</v>
      </c>
    </row>
    <row r="2" spans="1:17" ht="15.75" thickBot="1">
      <c r="A2" s="8" t="s">
        <v>18</v>
      </c>
      <c r="F2" s="127" t="s">
        <v>95</v>
      </c>
    </row>
    <row r="3" spans="1:17">
      <c r="A3" s="6" t="s">
        <v>2</v>
      </c>
      <c r="F3" s="10" t="s">
        <v>53</v>
      </c>
      <c r="I3" s="144"/>
      <c r="J3" s="145"/>
      <c r="K3" s="145"/>
      <c r="L3" s="145"/>
      <c r="M3" s="146"/>
    </row>
    <row r="4" spans="1:17" s="16" customFormat="1">
      <c r="A4" s="11"/>
      <c r="B4" s="12" t="s">
        <v>10</v>
      </c>
      <c r="C4" s="8"/>
      <c r="D4" s="8"/>
      <c r="E4" s="13"/>
      <c r="F4" s="14"/>
      <c r="G4" s="15" t="s">
        <v>51</v>
      </c>
      <c r="H4" s="9"/>
      <c r="I4" s="147" t="s">
        <v>102</v>
      </c>
      <c r="J4" s="40"/>
      <c r="K4" s="40"/>
      <c r="L4" s="40"/>
      <c r="M4" s="148"/>
      <c r="N4" s="14"/>
      <c r="O4" s="14"/>
      <c r="P4" s="14"/>
      <c r="Q4" s="14"/>
    </row>
    <row r="5" spans="1:17" ht="31.5" customHeight="1">
      <c r="A5" s="17" t="s">
        <v>2</v>
      </c>
      <c r="F5" s="188" t="s">
        <v>28</v>
      </c>
      <c r="G5" s="1"/>
      <c r="H5" s="19"/>
      <c r="I5" s="207" t="s">
        <v>24</v>
      </c>
      <c r="J5" s="208"/>
      <c r="K5" s="149" t="s">
        <v>25</v>
      </c>
      <c r="L5" s="42" t="s">
        <v>29</v>
      </c>
      <c r="M5" s="150"/>
    </row>
    <row r="6" spans="1:17">
      <c r="A6" s="6"/>
      <c r="C6" s="7"/>
      <c r="D6" s="20"/>
      <c r="F6" s="18" t="s">
        <v>15</v>
      </c>
      <c r="G6" s="1"/>
      <c r="H6" s="19"/>
      <c r="I6" s="151" t="s">
        <v>30</v>
      </c>
      <c r="J6" s="152">
        <v>0</v>
      </c>
      <c r="K6" s="153"/>
      <c r="L6" s="154">
        <f>IF(AND(J6&lt;&gt;"",J7=""),MAX(($G$5-J6)*K6,0),MAX(MIN(($G$5-J6)*K6,(J7-J6)*K6),0))</f>
        <v>0</v>
      </c>
      <c r="M6" s="150"/>
    </row>
    <row r="7" spans="1:17">
      <c r="A7" s="6" t="s">
        <v>15</v>
      </c>
      <c r="B7" s="189">
        <v>2915000</v>
      </c>
      <c r="F7" s="18" t="s">
        <v>39</v>
      </c>
      <c r="G7" s="1"/>
      <c r="H7" s="19"/>
      <c r="I7" s="151" t="s">
        <v>30</v>
      </c>
      <c r="J7" s="155"/>
      <c r="K7" s="153"/>
      <c r="L7" s="154">
        <f>IF(AND(J7&lt;&gt;"",J8=""),MAX(($G$5-J7)*K7,0),MAX(MIN(($G$5-J7)*K7,(J8-J7)*K7),0))</f>
        <v>0</v>
      </c>
      <c r="M7" s="150"/>
    </row>
    <row r="8" spans="1:17">
      <c r="A8" s="26" t="s">
        <v>5</v>
      </c>
      <c r="B8" s="189">
        <v>275000</v>
      </c>
      <c r="C8" s="23" t="s">
        <v>69</v>
      </c>
      <c r="D8" s="20"/>
      <c r="F8" s="18" t="s">
        <v>72</v>
      </c>
      <c r="G8" s="24">
        <f>G6-G7</f>
        <v>0</v>
      </c>
      <c r="H8" s="19"/>
      <c r="I8" s="151" t="s">
        <v>30</v>
      </c>
      <c r="J8" s="155"/>
      <c r="K8" s="153"/>
      <c r="L8" s="154">
        <f t="shared" ref="L8:L10" si="0">IF(AND(J8&lt;&gt;"",J9=""),MAX(($G$5-J8)*K8,0),MAX(MIN(($G$5-J8)*K8,(J9-J8)*K8),0))</f>
        <v>0</v>
      </c>
      <c r="M8" s="150"/>
    </row>
    <row r="9" spans="1:17" ht="30" customHeight="1" thickBot="1">
      <c r="A9" s="26" t="s">
        <v>6</v>
      </c>
      <c r="B9" s="189">
        <v>0</v>
      </c>
      <c r="C9" s="198" t="s">
        <v>70</v>
      </c>
      <c r="D9" s="198"/>
      <c r="E9" s="25"/>
      <c r="F9" s="18" t="s">
        <v>40</v>
      </c>
      <c r="G9" s="24">
        <f>L11</f>
        <v>0</v>
      </c>
      <c r="I9" s="151" t="s">
        <v>30</v>
      </c>
      <c r="J9" s="155"/>
      <c r="K9" s="153"/>
      <c r="L9" s="154">
        <f t="shared" si="0"/>
        <v>0</v>
      </c>
      <c r="M9" s="150"/>
    </row>
    <row r="10" spans="1:17">
      <c r="A10" s="26"/>
      <c r="B10" s="8"/>
      <c r="F10" s="29" t="s">
        <v>41</v>
      </c>
      <c r="G10" s="30" t="e">
        <f>ROUND($G$9*$G$8/$G$6,2)</f>
        <v>#DIV/0!</v>
      </c>
      <c r="I10" s="151" t="str">
        <f t="shared" ref="I10" si="1">IF(J10="","高于","不高于")</f>
        <v>高于</v>
      </c>
      <c r="J10" s="156"/>
      <c r="K10" s="156"/>
      <c r="L10" s="154">
        <f t="shared" si="0"/>
        <v>0</v>
      </c>
      <c r="M10" s="150"/>
    </row>
    <row r="11" spans="1:17" ht="15.75" thickBot="1">
      <c r="B11" s="12" t="s">
        <v>8</v>
      </c>
      <c r="C11" s="12" t="s">
        <v>9</v>
      </c>
      <c r="D11" s="12" t="s">
        <v>10</v>
      </c>
      <c r="F11" s="31" t="s">
        <v>16</v>
      </c>
      <c r="G11" s="32" t="e">
        <f>IF(K13&gt;0,(G10-G13)/2,ROUND($G$10*0.2,2))</f>
        <v>#DIV/0!</v>
      </c>
      <c r="I11" s="151"/>
      <c r="J11" s="40"/>
      <c r="K11" s="42" t="s">
        <v>5</v>
      </c>
      <c r="L11" s="60">
        <f>SUM(L6:L10)</f>
        <v>0</v>
      </c>
      <c r="M11" s="150"/>
    </row>
    <row r="12" spans="1:17">
      <c r="A12" s="17" t="s">
        <v>11</v>
      </c>
      <c r="C12" s="28"/>
      <c r="F12" s="33" t="s">
        <v>12</v>
      </c>
      <c r="G12" s="32" t="e">
        <f>G11</f>
        <v>#DIV/0!</v>
      </c>
      <c r="I12" s="158"/>
      <c r="J12" s="40"/>
      <c r="K12" s="40"/>
      <c r="L12" s="40"/>
      <c r="M12" s="150"/>
    </row>
    <row r="13" spans="1:17" ht="33" customHeight="1" thickBot="1">
      <c r="A13" s="6" t="s">
        <v>80</v>
      </c>
      <c r="B13" s="189">
        <v>1790000</v>
      </c>
      <c r="C13" s="189">
        <v>230000</v>
      </c>
      <c r="D13" s="20">
        <f>B13-C13</f>
        <v>1560000</v>
      </c>
      <c r="E13" s="25"/>
      <c r="F13" s="34" t="s">
        <v>13</v>
      </c>
      <c r="G13" s="35" t="e">
        <f>IF(K13&gt;0,ROUND(G5*K13*$G$8/$G$6,2),G10*0.6)</f>
        <v>#DIV/0!</v>
      </c>
      <c r="I13" s="211" t="s">
        <v>106</v>
      </c>
      <c r="J13" s="212"/>
      <c r="K13" s="153"/>
      <c r="L13" s="40"/>
      <c r="M13" s="150"/>
    </row>
    <row r="14" spans="1:17" ht="15.75" thickBot="1">
      <c r="A14" s="6" t="s">
        <v>1</v>
      </c>
      <c r="B14" s="189">
        <v>78000</v>
      </c>
      <c r="C14" s="20"/>
      <c r="D14" s="20">
        <f>B14-C14</f>
        <v>78000</v>
      </c>
      <c r="E14" s="25"/>
      <c r="I14" s="159" t="s">
        <v>105</v>
      </c>
      <c r="J14" s="80"/>
      <c r="K14" s="80"/>
      <c r="L14" s="80"/>
      <c r="M14" s="157"/>
    </row>
    <row r="15" spans="1:17">
      <c r="A15" s="6" t="s">
        <v>27</v>
      </c>
      <c r="B15" s="189"/>
      <c r="C15" s="20"/>
      <c r="D15" s="20">
        <f>B15-C15</f>
        <v>0</v>
      </c>
      <c r="E15" s="25"/>
    </row>
    <row r="16" spans="1:17" hidden="1">
      <c r="A16" s="17" t="s">
        <v>79</v>
      </c>
      <c r="B16" s="189">
        <v>300000</v>
      </c>
      <c r="C16" s="189"/>
      <c r="D16" s="20">
        <f>B16-C16</f>
        <v>300000</v>
      </c>
      <c r="F16" s="90" t="s">
        <v>82</v>
      </c>
      <c r="G16" s="81"/>
      <c r="H16" s="81"/>
      <c r="I16" s="81"/>
      <c r="J16" s="81"/>
      <c r="K16" s="81"/>
      <c r="L16" s="81"/>
      <c r="M16" s="81"/>
    </row>
    <row r="17" spans="1:13" hidden="1">
      <c r="A17" s="17"/>
      <c r="E17" s="20"/>
      <c r="F17" s="92"/>
      <c r="G17" s="91" t="s">
        <v>10</v>
      </c>
      <c r="H17" s="81"/>
      <c r="I17" s="81"/>
      <c r="J17" s="81"/>
      <c r="K17" s="81"/>
      <c r="L17" s="81"/>
      <c r="M17" s="81"/>
    </row>
    <row r="18" spans="1:13" hidden="1">
      <c r="A18" s="64" t="s">
        <v>78</v>
      </c>
      <c r="B18" s="65"/>
      <c r="C18" s="66"/>
      <c r="D18" s="66"/>
      <c r="E18" s="20"/>
      <c r="F18" s="90" t="s">
        <v>2</v>
      </c>
      <c r="G18" s="99"/>
      <c r="H18" s="81"/>
      <c r="I18" s="81"/>
      <c r="J18" s="81"/>
      <c r="K18" s="81"/>
      <c r="L18" s="81"/>
      <c r="M18" s="81"/>
    </row>
    <row r="19" spans="1:13" hidden="1">
      <c r="A19" s="64"/>
      <c r="B19" s="67" t="s">
        <v>19</v>
      </c>
      <c r="C19" s="68" t="s">
        <v>20</v>
      </c>
      <c r="D19" s="68" t="s">
        <v>21</v>
      </c>
      <c r="F19" s="89" t="s">
        <v>3</v>
      </c>
      <c r="G19" s="189">
        <v>650000</v>
      </c>
      <c r="H19" s="81"/>
      <c r="I19" s="81"/>
      <c r="J19" s="81"/>
      <c r="K19" s="81"/>
      <c r="L19" s="81"/>
      <c r="M19" s="81"/>
    </row>
    <row r="20" spans="1:13" hidden="1">
      <c r="A20" s="69" t="s">
        <v>5</v>
      </c>
      <c r="B20" s="70">
        <f>SUM(B21:B23)</f>
        <v>28301.89</v>
      </c>
      <c r="C20" s="70">
        <f>SUM(C21:C23)</f>
        <v>0</v>
      </c>
      <c r="D20" s="70">
        <f>B20-C20</f>
        <v>28301.89</v>
      </c>
      <c r="E20" s="20"/>
      <c r="F20" s="89" t="s">
        <v>5</v>
      </c>
      <c r="G20" s="189">
        <v>50000</v>
      </c>
      <c r="H20" s="101" t="s">
        <v>69</v>
      </c>
      <c r="I20" s="81"/>
      <c r="J20" s="81"/>
      <c r="K20" s="81"/>
      <c r="L20" s="81"/>
      <c r="M20" s="81"/>
    </row>
    <row r="21" spans="1:13" hidden="1">
      <c r="A21" s="69" t="s">
        <v>16</v>
      </c>
      <c r="B21" s="70">
        <f>IF($B$9="",ROUND($B$8*$B$24*50%,2),ROUND(($B$8-$B$9)*$B$24*0.8,2))</f>
        <v>22641.51</v>
      </c>
      <c r="C21" s="70"/>
      <c r="D21" s="70">
        <f t="shared" ref="D21:D23" si="2">B21-C21</f>
        <v>22641.51</v>
      </c>
      <c r="F21" s="93" t="s">
        <v>6</v>
      </c>
      <c r="G21" s="189">
        <v>20000</v>
      </c>
      <c r="H21" s="102" t="s">
        <v>70</v>
      </c>
      <c r="I21" s="81"/>
      <c r="J21" s="81"/>
      <c r="K21" s="81"/>
      <c r="L21" s="81"/>
      <c r="M21" s="81"/>
    </row>
    <row r="22" spans="1:13" hidden="1">
      <c r="A22" s="71" t="s">
        <v>12</v>
      </c>
      <c r="B22" s="70">
        <f>IF($B$9="",ROUND($B$8*$B$24*25%,2),ROUND(($B$8-$B$9)*$B$24*0.2,2))</f>
        <v>5660.38</v>
      </c>
      <c r="C22" s="66"/>
      <c r="D22" s="70">
        <f t="shared" si="2"/>
        <v>5660.38</v>
      </c>
      <c r="E22" s="25"/>
      <c r="F22" s="94" t="s">
        <v>15</v>
      </c>
      <c r="G22" s="100">
        <f>G19+G20</f>
        <v>700000</v>
      </c>
      <c r="H22" s="86"/>
      <c r="I22" s="81"/>
      <c r="J22" s="81"/>
      <c r="K22" s="81"/>
      <c r="L22" s="81"/>
      <c r="M22" s="81"/>
    </row>
    <row r="23" spans="1:13" hidden="1">
      <c r="A23" s="71" t="s">
        <v>13</v>
      </c>
      <c r="B23" s="70">
        <f>IF($B$9="",ROUND($B$8*$B$24*25%,2),ROUND($B$9*$B$24,2))</f>
        <v>0</v>
      </c>
      <c r="C23" s="70"/>
      <c r="D23" s="70">
        <f t="shared" si="2"/>
        <v>0</v>
      </c>
      <c r="F23" s="81"/>
      <c r="G23" s="81"/>
      <c r="H23" s="81"/>
      <c r="I23" s="81"/>
      <c r="J23" s="81"/>
      <c r="K23" s="81"/>
      <c r="L23" s="81"/>
      <c r="M23" s="81"/>
    </row>
    <row r="24" spans="1:13" hidden="1">
      <c r="A24" s="95" t="s">
        <v>83</v>
      </c>
      <c r="B24" s="96">
        <f>D16/B7</f>
        <v>0.10291595197255575</v>
      </c>
      <c r="C24" s="66"/>
      <c r="D24" s="66"/>
      <c r="F24" s="94"/>
      <c r="G24" s="91" t="s">
        <v>8</v>
      </c>
      <c r="H24" s="91" t="s">
        <v>9</v>
      </c>
      <c r="I24" s="91" t="s">
        <v>10</v>
      </c>
      <c r="J24" s="81"/>
      <c r="K24" s="81"/>
      <c r="L24" s="81"/>
      <c r="M24" s="81"/>
    </row>
    <row r="25" spans="1:13" hidden="1">
      <c r="F25" s="90"/>
      <c r="G25" s="99"/>
      <c r="H25" s="103"/>
      <c r="I25" s="81"/>
      <c r="J25" s="81"/>
      <c r="K25" s="81"/>
      <c r="L25" s="81"/>
      <c r="M25" s="81"/>
    </row>
    <row r="26" spans="1:13" hidden="1">
      <c r="A26" s="72" t="s">
        <v>14</v>
      </c>
      <c r="B26" s="73"/>
      <c r="C26" s="74"/>
      <c r="D26" s="74"/>
      <c r="F26" s="89" t="s">
        <v>80</v>
      </c>
      <c r="G26" s="189">
        <v>300000</v>
      </c>
      <c r="H26" s="189"/>
      <c r="I26" s="104">
        <f>G26-H26</f>
        <v>300000</v>
      </c>
      <c r="J26" s="81"/>
      <c r="K26" s="81"/>
      <c r="L26" s="81"/>
      <c r="M26" s="81"/>
    </row>
    <row r="27" spans="1:13" hidden="1">
      <c r="A27" s="72"/>
      <c r="B27" s="75" t="s">
        <v>19</v>
      </c>
      <c r="C27" s="76" t="s">
        <v>20</v>
      </c>
      <c r="D27" s="76" t="s">
        <v>21</v>
      </c>
      <c r="F27" s="89" t="s">
        <v>55</v>
      </c>
      <c r="G27" s="189">
        <v>200000</v>
      </c>
      <c r="H27" s="189"/>
      <c r="I27" s="104">
        <f t="shared" ref="I27:I28" si="3">G27-H27</f>
        <v>200000</v>
      </c>
      <c r="J27" s="81"/>
      <c r="K27" s="81"/>
      <c r="L27" s="81"/>
      <c r="M27" s="81"/>
    </row>
    <row r="28" spans="1:13" hidden="1">
      <c r="A28" s="77" t="s">
        <v>5</v>
      </c>
      <c r="B28" s="78"/>
      <c r="C28" s="78"/>
      <c r="D28" s="78"/>
      <c r="F28" s="90" t="s">
        <v>87</v>
      </c>
      <c r="G28" s="104">
        <f>SUM(G26:G27)</f>
        <v>500000</v>
      </c>
      <c r="H28" s="104">
        <f>SUM(H26:H27)</f>
        <v>0</v>
      </c>
      <c r="I28" s="104">
        <f t="shared" si="3"/>
        <v>500000</v>
      </c>
      <c r="J28" s="81"/>
      <c r="K28" s="81"/>
      <c r="L28" s="81"/>
      <c r="M28" s="81"/>
    </row>
    <row r="29" spans="1:13" hidden="1">
      <c r="A29" s="79" t="s">
        <v>81</v>
      </c>
      <c r="B29" s="78">
        <f>IF($B$9="",ROUND($B$8*$B$31,2),ROUND(($B$8-$B$9)*$B$31,2))</f>
        <v>147169.81</v>
      </c>
      <c r="C29" s="78">
        <f>$D$14</f>
        <v>78000</v>
      </c>
      <c r="D29" s="200">
        <f>SUM(B29:B30,-C29,-C30)</f>
        <v>69169.81</v>
      </c>
      <c r="F29" s="90"/>
      <c r="G29" s="99"/>
      <c r="H29" s="81"/>
      <c r="I29" s="104"/>
      <c r="J29" s="81"/>
      <c r="K29" s="81"/>
      <c r="L29" s="81"/>
      <c r="M29" s="81"/>
    </row>
    <row r="30" spans="1:13" hidden="1">
      <c r="A30" s="79" t="s">
        <v>13</v>
      </c>
      <c r="B30" s="78">
        <f>IF($B$9="",0,ROUND($B$9*$B$31,2))</f>
        <v>0</v>
      </c>
      <c r="C30" s="78">
        <f>D15</f>
        <v>0</v>
      </c>
      <c r="D30" s="200"/>
      <c r="F30" s="90" t="s">
        <v>89</v>
      </c>
      <c r="G30" s="81"/>
      <c r="H30" s="81"/>
      <c r="I30" s="81"/>
      <c r="J30" s="81"/>
      <c r="K30" s="81"/>
      <c r="L30" s="81"/>
      <c r="M30" s="81"/>
    </row>
    <row r="31" spans="1:13" hidden="1">
      <c r="A31" s="97" t="s">
        <v>84</v>
      </c>
      <c r="B31" s="98">
        <f>MIN(D13/B7,1)</f>
        <v>0.53516295025728988</v>
      </c>
      <c r="C31" s="74"/>
      <c r="D31" s="78"/>
      <c r="F31" s="88" t="s">
        <v>5</v>
      </c>
      <c r="G31" s="112">
        <f>ROUND(G20*G35,2)</f>
        <v>14285.71</v>
      </c>
      <c r="H31" s="81"/>
      <c r="I31" s="81"/>
      <c r="J31" s="81"/>
      <c r="K31" s="81"/>
      <c r="L31" s="81"/>
      <c r="M31" s="81"/>
    </row>
    <row r="32" spans="1:13" hidden="1">
      <c r="B32" s="6" t="s">
        <v>92</v>
      </c>
      <c r="F32" s="113" t="s">
        <v>16</v>
      </c>
      <c r="G32" s="114">
        <f>ROUND(G31/2,2)</f>
        <v>7142.86</v>
      </c>
      <c r="H32" s="81"/>
      <c r="I32" s="82"/>
      <c r="J32" s="83"/>
      <c r="K32" s="83"/>
      <c r="L32" s="84"/>
      <c r="M32" s="81"/>
    </row>
    <row r="33" spans="6:13" hidden="1">
      <c r="F33" s="115" t="s">
        <v>12</v>
      </c>
      <c r="G33" s="114">
        <f>G31-G32-G34</f>
        <v>1428.5599999999995</v>
      </c>
      <c r="H33" s="81"/>
      <c r="I33" s="85"/>
      <c r="J33" s="86" t="s">
        <v>60</v>
      </c>
      <c r="K33" s="86"/>
      <c r="L33" s="87"/>
      <c r="M33" s="81"/>
    </row>
    <row r="34" spans="6:13" ht="15.75" hidden="1" thickBot="1">
      <c r="F34" s="115" t="s">
        <v>13</v>
      </c>
      <c r="G34" s="114">
        <f>IF(G21="",ROUND((G31-G32)/2,2),ROUND(G21*G35,2))</f>
        <v>5714.29</v>
      </c>
      <c r="H34" s="81"/>
      <c r="I34" s="85"/>
      <c r="J34" s="88" t="s">
        <v>61</v>
      </c>
      <c r="K34" s="86"/>
      <c r="L34" s="87"/>
      <c r="M34" s="81"/>
    </row>
    <row r="35" spans="6:13" hidden="1">
      <c r="F35" s="116" t="s">
        <v>83</v>
      </c>
      <c r="G35" s="117">
        <f>I27/G22</f>
        <v>0.2857142857142857</v>
      </c>
      <c r="H35" s="81"/>
      <c r="I35" s="85"/>
      <c r="J35" s="105" t="s">
        <v>5</v>
      </c>
      <c r="K35" s="106">
        <f>ROUND(G20*K39,2)</f>
        <v>21428.57</v>
      </c>
      <c r="L35" s="87"/>
      <c r="M35" s="81"/>
    </row>
    <row r="36" spans="6:13" hidden="1">
      <c r="F36" s="81"/>
      <c r="G36" s="81"/>
      <c r="H36" s="81"/>
      <c r="I36" s="85"/>
      <c r="J36" s="107" t="s">
        <v>16</v>
      </c>
      <c r="K36" s="108">
        <f>ROUND($K$35*50%,2)</f>
        <v>10714.29</v>
      </c>
      <c r="L36" s="87"/>
      <c r="M36" s="81"/>
    </row>
    <row r="37" spans="6:13" hidden="1">
      <c r="F37" s="81"/>
      <c r="G37" s="81"/>
      <c r="H37" s="81"/>
      <c r="I37" s="85"/>
      <c r="J37" s="109" t="s">
        <v>12</v>
      </c>
      <c r="K37" s="108">
        <f>K35-K36-K38</f>
        <v>2142.8499999999985</v>
      </c>
      <c r="L37" s="87"/>
      <c r="M37" s="81"/>
    </row>
    <row r="38" spans="6:13" ht="15.75" hidden="1" thickBot="1">
      <c r="F38" s="81"/>
      <c r="G38" s="81"/>
      <c r="H38" s="81"/>
      <c r="I38" s="85"/>
      <c r="J38" s="110" t="s">
        <v>13</v>
      </c>
      <c r="K38" s="111">
        <f>IF($G$21="",ROUND((K35-K36)/2,2),ROUND(G21*K39,2))</f>
        <v>8571.43</v>
      </c>
      <c r="L38" s="87"/>
      <c r="M38" s="81"/>
    </row>
    <row r="39" spans="6:13" hidden="1">
      <c r="F39" s="81"/>
      <c r="G39" s="81"/>
      <c r="H39" s="81"/>
      <c r="I39" s="85"/>
      <c r="J39" s="118" t="s">
        <v>90</v>
      </c>
      <c r="K39" s="119">
        <f>I26/$G$22</f>
        <v>0.42857142857142855</v>
      </c>
      <c r="L39" s="87"/>
      <c r="M39" s="81"/>
    </row>
    <row r="40" spans="6:13" hidden="1">
      <c r="F40" s="81"/>
      <c r="G40" s="81"/>
      <c r="H40" s="81"/>
      <c r="I40" s="85"/>
      <c r="J40" s="81"/>
      <c r="K40" s="81"/>
      <c r="L40" s="81"/>
      <c r="M40" s="81"/>
    </row>
    <row r="41" spans="6:13" ht="15.75" hidden="1" thickBot="1">
      <c r="F41" s="81"/>
      <c r="G41" s="81"/>
      <c r="H41" s="81"/>
      <c r="I41" s="85"/>
      <c r="J41" s="88" t="s">
        <v>62</v>
      </c>
      <c r="K41" s="86"/>
      <c r="L41" s="87" t="s">
        <v>63</v>
      </c>
      <c r="M41" s="81"/>
    </row>
    <row r="42" spans="6:13" hidden="1">
      <c r="F42" s="81"/>
      <c r="G42" s="81"/>
      <c r="H42" s="81"/>
      <c r="I42" s="85"/>
      <c r="J42" s="105" t="s">
        <v>5</v>
      </c>
      <c r="K42" s="106">
        <f>ROUND(G20*K46,2)</f>
        <v>35714.29</v>
      </c>
      <c r="L42" s="120">
        <f>K42-G31-K35</f>
        <v>1.0000000002037268E-2</v>
      </c>
      <c r="M42" s="81"/>
    </row>
    <row r="43" spans="6:13" hidden="1">
      <c r="F43" s="81"/>
      <c r="G43" s="81"/>
      <c r="H43" s="81"/>
      <c r="I43" s="85"/>
      <c r="J43" s="107" t="s">
        <v>16</v>
      </c>
      <c r="K43" s="108">
        <f>ROUND($K$42*50%,2)</f>
        <v>17857.150000000001</v>
      </c>
      <c r="L43" s="120">
        <f>K43-G32-K36</f>
        <v>0</v>
      </c>
      <c r="M43" s="81"/>
    </row>
    <row r="44" spans="6:13" hidden="1">
      <c r="F44" s="81"/>
      <c r="G44" s="81"/>
      <c r="H44" s="81"/>
      <c r="I44" s="85"/>
      <c r="J44" s="109" t="s">
        <v>12</v>
      </c>
      <c r="K44" s="108">
        <f>K42-K43-K45</f>
        <v>3571.4300000000003</v>
      </c>
      <c r="L44" s="120">
        <f>K44-G33-K37</f>
        <v>2.0000000002255547E-2</v>
      </c>
      <c r="M44" s="81"/>
    </row>
    <row r="45" spans="6:13" ht="15.75" hidden="1" thickBot="1">
      <c r="F45" s="81"/>
      <c r="G45" s="81"/>
      <c r="H45" s="81"/>
      <c r="I45" s="85"/>
      <c r="J45" s="110" t="s">
        <v>13</v>
      </c>
      <c r="K45" s="111">
        <f>IF($G$21="",ROUND((K42-K43)/2,2),ROUND(G21*K46,2))</f>
        <v>14285.71</v>
      </c>
      <c r="L45" s="120">
        <f>K45-G34-K38</f>
        <v>-1.0000000002037268E-2</v>
      </c>
      <c r="M45" s="81"/>
    </row>
    <row r="46" spans="6:13" hidden="1">
      <c r="F46" s="81"/>
      <c r="G46" s="81"/>
      <c r="H46" s="81"/>
      <c r="I46" s="121"/>
      <c r="J46" s="122" t="s">
        <v>91</v>
      </c>
      <c r="K46" s="123">
        <f>I28/$G$22</f>
        <v>0.7142857142857143</v>
      </c>
      <c r="L46" s="124"/>
      <c r="M46" s="81"/>
    </row>
    <row r="47" spans="6:13" hidden="1">
      <c r="F47" s="81"/>
      <c r="G47" s="81"/>
      <c r="H47" s="81"/>
      <c r="I47" s="81"/>
      <c r="J47" s="81"/>
      <c r="K47" s="81"/>
      <c r="L47" s="81"/>
      <c r="M47" s="81"/>
    </row>
    <row r="48" spans="6:13" hidden="1">
      <c r="F48" s="81"/>
      <c r="G48" s="81"/>
      <c r="H48" s="81"/>
      <c r="I48" s="81"/>
      <c r="J48" s="81"/>
      <c r="K48" s="81"/>
      <c r="L48" s="81"/>
      <c r="M48" s="81"/>
    </row>
    <row r="49" spans="6:13" hidden="1">
      <c r="F49" s="81"/>
      <c r="G49" s="81"/>
      <c r="H49" s="81"/>
      <c r="I49" s="81"/>
      <c r="J49" s="81"/>
      <c r="K49" s="81"/>
      <c r="L49" s="81"/>
      <c r="M49" s="81"/>
    </row>
    <row r="50" spans="6:13" hidden="1"/>
    <row r="51" spans="6:13" ht="15.75" thickBot="1">
      <c r="F51" s="206" t="s">
        <v>115</v>
      </c>
      <c r="G51" s="206"/>
    </row>
    <row r="52" spans="6:13" ht="46.5" customHeight="1">
      <c r="F52" s="206"/>
      <c r="G52" s="206"/>
      <c r="I52" s="203" t="s">
        <v>114</v>
      </c>
      <c r="J52" s="204"/>
      <c r="K52" s="204"/>
      <c r="L52" s="204"/>
      <c r="M52" s="205"/>
    </row>
    <row r="53" spans="6:13">
      <c r="F53" s="206"/>
      <c r="G53" s="206"/>
      <c r="I53" s="162" t="s">
        <v>109</v>
      </c>
      <c r="J53" s="163"/>
      <c r="K53" s="163"/>
      <c r="L53" s="163"/>
      <c r="M53" s="164"/>
    </row>
    <row r="54" spans="6:13">
      <c r="F54" s="206"/>
      <c r="G54" s="206"/>
      <c r="I54" s="209" t="s">
        <v>110</v>
      </c>
      <c r="J54" s="210"/>
      <c r="K54" s="165" t="s">
        <v>111</v>
      </c>
      <c r="L54" s="163"/>
      <c r="M54" s="166"/>
    </row>
    <row r="55" spans="6:13">
      <c r="F55" s="206"/>
      <c r="G55" s="206"/>
      <c r="I55" s="167" t="s">
        <v>112</v>
      </c>
      <c r="J55" s="168">
        <v>0</v>
      </c>
      <c r="K55" s="190">
        <v>0.2</v>
      </c>
      <c r="L55" s="163"/>
      <c r="M55" s="166"/>
    </row>
    <row r="56" spans="6:13">
      <c r="F56" s="206"/>
      <c r="G56" s="206"/>
      <c r="I56" s="167" t="s">
        <v>112</v>
      </c>
      <c r="J56" s="191">
        <v>100</v>
      </c>
      <c r="K56" s="190">
        <v>0.1</v>
      </c>
      <c r="L56" s="163"/>
      <c r="M56" s="166"/>
    </row>
    <row r="57" spans="6:13">
      <c r="I57" s="167" t="s">
        <v>112</v>
      </c>
      <c r="J57" s="163"/>
      <c r="K57" s="163"/>
      <c r="L57" s="163"/>
      <c r="M57" s="166"/>
    </row>
    <row r="58" spans="6:13">
      <c r="I58" s="167" t="s">
        <v>112</v>
      </c>
      <c r="J58" s="163"/>
      <c r="K58" s="163"/>
      <c r="L58" s="163"/>
      <c r="M58" s="166"/>
    </row>
    <row r="59" spans="6:13">
      <c r="I59" s="167" t="str">
        <f t="shared" ref="I59" si="4">IF(J59="","高于","不高于")</f>
        <v>高于</v>
      </c>
      <c r="J59" s="163"/>
      <c r="K59" s="163"/>
      <c r="L59" s="163"/>
      <c r="M59" s="166"/>
    </row>
    <row r="60" spans="6:13">
      <c r="I60" s="167"/>
      <c r="J60" s="163"/>
      <c r="K60" s="169"/>
      <c r="L60" s="163"/>
      <c r="M60" s="166"/>
    </row>
    <row r="61" spans="6:13" ht="27.75" customHeight="1">
      <c r="I61" s="201" t="s">
        <v>113</v>
      </c>
      <c r="J61" s="202"/>
      <c r="K61" s="190">
        <v>0.05</v>
      </c>
      <c r="L61" s="163"/>
      <c r="M61" s="166"/>
    </row>
    <row r="62" spans="6:13" ht="15.75" thickBot="1">
      <c r="I62" s="170"/>
      <c r="J62" s="171"/>
      <c r="K62" s="171"/>
      <c r="L62" s="171"/>
      <c r="M62" s="172"/>
    </row>
  </sheetData>
  <sheetProtection password="8F4F" sheet="1" objects="1" scenarios="1" selectLockedCells="1"/>
  <mergeCells count="8">
    <mergeCell ref="I61:J61"/>
    <mergeCell ref="I52:M52"/>
    <mergeCell ref="F51:G56"/>
    <mergeCell ref="I5:J5"/>
    <mergeCell ref="C9:D9"/>
    <mergeCell ref="D29:D30"/>
    <mergeCell ref="I54:J54"/>
    <mergeCell ref="I13:J13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54"/>
  <sheetViews>
    <sheetView tabSelected="1" topLeftCell="F1" workbookViewId="0">
      <selection activeCell="G5" sqref="G5"/>
    </sheetView>
  </sheetViews>
  <sheetFormatPr defaultRowHeight="15"/>
  <cols>
    <col min="1" max="1" width="39.42578125" style="8" hidden="1" customWidth="1"/>
    <col min="2" max="2" width="18.7109375" style="7" hidden="1" customWidth="1"/>
    <col min="3" max="3" width="20" style="8" hidden="1" customWidth="1"/>
    <col min="4" max="4" width="15.5703125" style="8" hidden="1" customWidth="1"/>
    <col min="5" max="5" width="11.85546875" style="8" hidden="1" customWidth="1"/>
    <col min="6" max="6" width="33.42578125" style="9" customWidth="1"/>
    <col min="7" max="7" width="16" style="9" customWidth="1"/>
    <col min="8" max="8" width="12.42578125" style="9" customWidth="1"/>
    <col min="9" max="9" width="14.5703125" style="9" customWidth="1"/>
    <col min="10" max="10" width="23.140625" style="9" customWidth="1"/>
    <col min="11" max="11" width="15.85546875" style="9" customWidth="1"/>
    <col min="12" max="12" width="2.140625" style="9" customWidth="1"/>
    <col min="13" max="77" width="9.140625" style="125"/>
    <col min="78" max="16384" width="9.140625" style="8"/>
  </cols>
  <sheetData>
    <row r="1" spans="1:77">
      <c r="A1" s="6" t="s">
        <v>17</v>
      </c>
      <c r="F1" s="10" t="s">
        <v>100</v>
      </c>
    </row>
    <row r="2" spans="1:77" ht="15.75" thickBot="1">
      <c r="A2" s="8" t="s">
        <v>18</v>
      </c>
      <c r="F2" s="127" t="s">
        <v>95</v>
      </c>
    </row>
    <row r="3" spans="1:77">
      <c r="A3" s="6" t="s">
        <v>2</v>
      </c>
      <c r="F3" s="10" t="s">
        <v>53</v>
      </c>
      <c r="J3" s="129" t="s">
        <v>76</v>
      </c>
      <c r="K3" s="137"/>
      <c r="L3" s="130"/>
    </row>
    <row r="4" spans="1:77" s="16" customFormat="1">
      <c r="A4" s="11"/>
      <c r="B4" s="12" t="s">
        <v>10</v>
      </c>
      <c r="C4" s="20"/>
      <c r="E4" s="13"/>
      <c r="F4" s="14"/>
      <c r="G4" s="15" t="s">
        <v>93</v>
      </c>
      <c r="H4" s="9"/>
      <c r="I4" s="9"/>
      <c r="J4" s="131"/>
      <c r="K4" s="76" t="s">
        <v>123</v>
      </c>
      <c r="L4" s="141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</row>
    <row r="5" spans="1:77">
      <c r="A5" s="17" t="s">
        <v>2</v>
      </c>
      <c r="F5" s="18" t="s">
        <v>3</v>
      </c>
      <c r="G5" s="1"/>
      <c r="H5" s="19" t="s">
        <v>44</v>
      </c>
      <c r="I5" s="19"/>
      <c r="J5" s="132" t="s">
        <v>3</v>
      </c>
      <c r="K5" s="138">
        <f>K9-K8</f>
        <v>0</v>
      </c>
      <c r="L5" s="142"/>
    </row>
    <row r="6" spans="1:77">
      <c r="A6" s="6" t="s">
        <v>3</v>
      </c>
      <c r="B6" s="189">
        <v>2915000</v>
      </c>
      <c r="C6" s="7"/>
      <c r="D6" s="20"/>
      <c r="F6" s="21" t="s">
        <v>96</v>
      </c>
      <c r="G6" s="1"/>
      <c r="H6" s="19"/>
      <c r="I6" s="19"/>
      <c r="J6" s="133" t="s">
        <v>96</v>
      </c>
      <c r="K6" s="139"/>
      <c r="L6" s="142"/>
    </row>
    <row r="7" spans="1:77">
      <c r="A7" s="6" t="s">
        <v>5</v>
      </c>
      <c r="B7" s="189">
        <v>275000</v>
      </c>
      <c r="C7" s="23" t="s">
        <v>69</v>
      </c>
      <c r="D7" s="20"/>
      <c r="F7" s="18" t="s">
        <v>39</v>
      </c>
      <c r="G7" s="1"/>
      <c r="H7" s="19" t="s">
        <v>43</v>
      </c>
      <c r="I7" s="19"/>
      <c r="J7" s="132" t="s">
        <v>39</v>
      </c>
      <c r="K7" s="139"/>
      <c r="L7" s="142"/>
    </row>
    <row r="8" spans="1:77" ht="30" customHeight="1">
      <c r="A8" s="22" t="s">
        <v>6</v>
      </c>
      <c r="B8" s="189">
        <v>87000</v>
      </c>
      <c r="C8" s="198" t="s">
        <v>70</v>
      </c>
      <c r="D8" s="198"/>
      <c r="F8" s="18" t="s">
        <v>40</v>
      </c>
      <c r="G8" s="24">
        <f>($G$5-$G$6)*20%</f>
        <v>0</v>
      </c>
      <c r="H8" s="19" t="s">
        <v>46</v>
      </c>
      <c r="I8" s="19"/>
      <c r="J8" s="132" t="s">
        <v>40</v>
      </c>
      <c r="K8" s="138">
        <f>20%*(K9-K6)/1.2</f>
        <v>0</v>
      </c>
      <c r="L8" s="142"/>
      <c r="M8" s="143"/>
    </row>
    <row r="9" spans="1:77">
      <c r="A9" s="26" t="s">
        <v>15</v>
      </c>
      <c r="B9" s="27">
        <f>B6+B7</f>
        <v>3190000</v>
      </c>
      <c r="E9" s="25"/>
      <c r="F9" s="9" t="s">
        <v>42</v>
      </c>
      <c r="G9" s="24">
        <f>G8+G5</f>
        <v>0</v>
      </c>
      <c r="H9" s="19" t="s">
        <v>47</v>
      </c>
      <c r="I9" s="19"/>
      <c r="J9" s="134" t="s">
        <v>42</v>
      </c>
      <c r="K9" s="139"/>
      <c r="L9" s="142"/>
    </row>
    <row r="10" spans="1:77" ht="15.75" thickBot="1">
      <c r="F10" s="18" t="s">
        <v>45</v>
      </c>
      <c r="G10" s="24">
        <f>G9-G7</f>
        <v>0</v>
      </c>
      <c r="H10" s="9" t="s">
        <v>48</v>
      </c>
      <c r="J10" s="132" t="s">
        <v>45</v>
      </c>
      <c r="K10" s="138">
        <f>K9-K7</f>
        <v>0</v>
      </c>
      <c r="L10" s="142"/>
    </row>
    <row r="11" spans="1:77" ht="15.75" thickBot="1">
      <c r="B11" s="12" t="s">
        <v>8</v>
      </c>
      <c r="C11" s="12" t="s">
        <v>9</v>
      </c>
      <c r="D11" s="12" t="s">
        <v>10</v>
      </c>
      <c r="F11" s="29" t="s">
        <v>41</v>
      </c>
      <c r="G11" s="30" t="e">
        <f>ROUND(G8*(G5+G8-G7)/(G5+G8),2)</f>
        <v>#DIV/0!</v>
      </c>
      <c r="H11" s="9" t="s">
        <v>52</v>
      </c>
      <c r="J11" s="135"/>
      <c r="K11" s="140"/>
      <c r="L11" s="136"/>
    </row>
    <row r="12" spans="1:77">
      <c r="A12" s="17" t="s">
        <v>11</v>
      </c>
      <c r="C12" s="28"/>
      <c r="E12" s="25"/>
      <c r="F12" s="31" t="s">
        <v>16</v>
      </c>
      <c r="G12" s="32" t="e">
        <f>ROUND($G$11*0.2,2)</f>
        <v>#DIV/0!</v>
      </c>
      <c r="H12" s="9" t="s">
        <v>97</v>
      </c>
    </row>
    <row r="13" spans="1:77">
      <c r="A13" s="6" t="s">
        <v>80</v>
      </c>
      <c r="B13" s="189">
        <v>1790000</v>
      </c>
      <c r="C13" s="189">
        <v>230000</v>
      </c>
      <c r="D13" s="20">
        <f>B13-C13</f>
        <v>1560000</v>
      </c>
      <c r="E13" s="25"/>
      <c r="F13" s="33" t="s">
        <v>12</v>
      </c>
      <c r="G13" s="32" t="e">
        <f>ROUND($G$11*0.2,2)</f>
        <v>#DIV/0!</v>
      </c>
      <c r="H13" s="9" t="s">
        <v>97</v>
      </c>
    </row>
    <row r="14" spans="1:77" ht="15.75" thickBot="1">
      <c r="A14" s="6" t="s">
        <v>1</v>
      </c>
      <c r="B14" s="189">
        <v>78000</v>
      </c>
      <c r="C14" s="20"/>
      <c r="D14" s="20">
        <f>B14-C14</f>
        <v>78000</v>
      </c>
      <c r="F14" s="34" t="s">
        <v>13</v>
      </c>
      <c r="G14" s="35" t="e">
        <f>G11-G12-G13</f>
        <v>#DIV/0!</v>
      </c>
      <c r="H14" s="9" t="s">
        <v>98</v>
      </c>
    </row>
    <row r="15" spans="1:77">
      <c r="A15" s="6" t="s">
        <v>27</v>
      </c>
      <c r="B15" s="189"/>
      <c r="C15" s="20"/>
      <c r="D15" s="20">
        <f>B15-C15</f>
        <v>0</v>
      </c>
      <c r="E15" s="20"/>
    </row>
    <row r="16" spans="1:77" ht="15.75" hidden="1" thickBot="1">
      <c r="A16" s="17" t="s">
        <v>79</v>
      </c>
      <c r="B16" s="189">
        <v>300000</v>
      </c>
      <c r="C16" s="189"/>
      <c r="D16" s="20">
        <f>B16-C16</f>
        <v>300000</v>
      </c>
      <c r="E16" s="20"/>
      <c r="F16" s="80"/>
      <c r="G16" s="80"/>
      <c r="H16" s="80"/>
      <c r="I16" s="80"/>
      <c r="J16" s="80"/>
      <c r="K16" s="80"/>
      <c r="L16" s="80"/>
    </row>
    <row r="17" spans="1:77" s="9" customFormat="1" hidden="1">
      <c r="A17" s="8"/>
      <c r="B17" s="7"/>
      <c r="C17" s="8"/>
      <c r="D17" s="8"/>
      <c r="E17" s="8"/>
      <c r="F17" s="90" t="s">
        <v>82</v>
      </c>
      <c r="G17" s="81"/>
      <c r="H17" s="81"/>
      <c r="I17" s="81"/>
      <c r="J17" s="81"/>
      <c r="K17" s="81"/>
      <c r="L17" s="81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</row>
    <row r="18" spans="1:77" s="9" customFormat="1" hidden="1">
      <c r="A18" s="64" t="s">
        <v>78</v>
      </c>
      <c r="B18" s="65"/>
      <c r="C18" s="66"/>
      <c r="D18" s="66"/>
      <c r="E18" s="8"/>
      <c r="F18" s="92"/>
      <c r="G18" s="91" t="s">
        <v>10</v>
      </c>
      <c r="H18" s="81"/>
      <c r="I18" s="81"/>
      <c r="J18" s="81"/>
      <c r="K18" s="81"/>
      <c r="L18" s="81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7" s="9" customFormat="1" hidden="1">
      <c r="A19" s="64"/>
      <c r="B19" s="67" t="s">
        <v>19</v>
      </c>
      <c r="C19" s="68" t="s">
        <v>20</v>
      </c>
      <c r="D19" s="68" t="s">
        <v>21</v>
      </c>
      <c r="E19" s="20"/>
      <c r="F19" s="90" t="s">
        <v>2</v>
      </c>
      <c r="G19" s="99"/>
      <c r="H19" s="81"/>
      <c r="I19" s="81"/>
      <c r="J19" s="81"/>
      <c r="K19" s="81"/>
      <c r="L19" s="81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</row>
    <row r="20" spans="1:77" s="9" customFormat="1" hidden="1">
      <c r="A20" s="69" t="s">
        <v>5</v>
      </c>
      <c r="B20" s="70">
        <f>SUM(B21:B23)</f>
        <v>25862.07</v>
      </c>
      <c r="C20" s="70">
        <f>SUM(C21:C23)</f>
        <v>0</v>
      </c>
      <c r="D20" s="70">
        <f>B20-C20</f>
        <v>25862.07</v>
      </c>
      <c r="E20" s="8"/>
      <c r="F20" s="89" t="s">
        <v>3</v>
      </c>
      <c r="G20" s="189"/>
      <c r="H20" s="81"/>
      <c r="I20" s="81"/>
      <c r="J20" s="81"/>
      <c r="K20" s="81"/>
      <c r="L20" s="81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7" s="9" customFormat="1" hidden="1">
      <c r="A21" s="69" t="s">
        <v>16</v>
      </c>
      <c r="B21" s="70">
        <f>IF($B$8="",ROUND($B$7*$B$24*50%,2),ROUND(($B$7-$B$8)*$B$24*0.8,2))</f>
        <v>14144.2</v>
      </c>
      <c r="C21" s="70"/>
      <c r="D21" s="70">
        <f t="shared" ref="D21:D23" si="0">B21-C21</f>
        <v>14144.2</v>
      </c>
      <c r="E21" s="25" t="str">
        <f>IF(SUM(D21:D23)=D20,"","ERROR")</f>
        <v/>
      </c>
      <c r="F21" s="89" t="s">
        <v>5</v>
      </c>
      <c r="G21" s="189"/>
      <c r="H21" s="101" t="s">
        <v>69</v>
      </c>
      <c r="I21" s="81"/>
      <c r="J21" s="81"/>
      <c r="K21" s="81"/>
      <c r="L21" s="81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7" s="9" customFormat="1" hidden="1">
      <c r="A22" s="71" t="s">
        <v>12</v>
      </c>
      <c r="B22" s="70">
        <f>IF($B$8="",ROUND($B$7*$B$24*25%,2),ROUND(($B$7-$B$8)*$B$24*0.2,2))</f>
        <v>3536.05</v>
      </c>
      <c r="C22" s="66"/>
      <c r="D22" s="70">
        <f t="shared" si="0"/>
        <v>3536.05</v>
      </c>
      <c r="E22" s="8"/>
      <c r="F22" s="93" t="s">
        <v>6</v>
      </c>
      <c r="G22" s="189"/>
      <c r="H22" s="102" t="s">
        <v>70</v>
      </c>
      <c r="I22" s="81"/>
      <c r="J22" s="81"/>
      <c r="K22" s="81"/>
      <c r="L22" s="81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</row>
    <row r="23" spans="1:77" s="9" customFormat="1" hidden="1">
      <c r="A23" s="71" t="s">
        <v>13</v>
      </c>
      <c r="B23" s="70">
        <f>IF($B$8="",ROUND($B$7*$B$24*25%,2),ROUND($B$8*$B$24,2))</f>
        <v>8181.82</v>
      </c>
      <c r="C23" s="70"/>
      <c r="D23" s="70">
        <f t="shared" si="0"/>
        <v>8181.82</v>
      </c>
      <c r="E23" s="8"/>
      <c r="F23" s="94" t="s">
        <v>15</v>
      </c>
      <c r="G23" s="100">
        <f>G20+G21</f>
        <v>0</v>
      </c>
      <c r="H23" s="86"/>
      <c r="I23" s="81"/>
      <c r="J23" s="81"/>
      <c r="K23" s="81"/>
      <c r="L23" s="81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7" s="9" customFormat="1" hidden="1">
      <c r="A24" s="95" t="s">
        <v>83</v>
      </c>
      <c r="B24" s="96">
        <f>D16/B9</f>
        <v>9.4043887147335428E-2</v>
      </c>
      <c r="C24" s="66"/>
      <c r="D24" s="66"/>
      <c r="E24" s="8"/>
      <c r="F24" s="81"/>
      <c r="G24" s="81"/>
      <c r="H24" s="81"/>
      <c r="I24" s="81"/>
      <c r="J24" s="81"/>
      <c r="K24" s="81"/>
      <c r="L24" s="81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7" s="9" customFormat="1" hidden="1">
      <c r="A25" s="8"/>
      <c r="B25" s="7"/>
      <c r="C25" s="8"/>
      <c r="D25" s="8"/>
      <c r="E25" s="8"/>
      <c r="F25" s="94"/>
      <c r="G25" s="91" t="s">
        <v>8</v>
      </c>
      <c r="H25" s="91" t="s">
        <v>9</v>
      </c>
      <c r="I25" s="91" t="s">
        <v>10</v>
      </c>
      <c r="J25" s="81"/>
      <c r="K25" s="81"/>
      <c r="L25" s="81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</row>
    <row r="26" spans="1:77" s="9" customFormat="1" hidden="1">
      <c r="A26" s="72" t="s">
        <v>14</v>
      </c>
      <c r="B26" s="73"/>
      <c r="C26" s="74"/>
      <c r="D26" s="74"/>
      <c r="E26" s="8"/>
      <c r="F26" s="90"/>
      <c r="G26" s="99"/>
      <c r="H26" s="103"/>
      <c r="I26" s="81"/>
      <c r="J26" s="81"/>
      <c r="K26" s="81"/>
      <c r="L26" s="81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</row>
    <row r="27" spans="1:77" s="9" customFormat="1" hidden="1">
      <c r="A27" s="72"/>
      <c r="B27" s="75" t="s">
        <v>19</v>
      </c>
      <c r="C27" s="76" t="s">
        <v>20</v>
      </c>
      <c r="D27" s="76" t="s">
        <v>21</v>
      </c>
      <c r="E27" s="8"/>
      <c r="F27" s="89" t="s">
        <v>80</v>
      </c>
      <c r="G27" s="189"/>
      <c r="H27" s="189"/>
      <c r="I27" s="104">
        <f>G27-H27</f>
        <v>0</v>
      </c>
      <c r="J27" s="81"/>
      <c r="K27" s="81"/>
      <c r="L27" s="81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</row>
    <row r="28" spans="1:77" s="9" customFormat="1" hidden="1">
      <c r="A28" s="77" t="s">
        <v>5</v>
      </c>
      <c r="B28" s="78"/>
      <c r="C28" s="78"/>
      <c r="D28" s="78"/>
      <c r="E28" s="8"/>
      <c r="F28" s="89" t="s">
        <v>55</v>
      </c>
      <c r="G28" s="189"/>
      <c r="H28" s="189"/>
      <c r="I28" s="104">
        <f t="shared" ref="I28:I29" si="1">G28-H28</f>
        <v>0</v>
      </c>
      <c r="J28" s="81"/>
      <c r="K28" s="81"/>
      <c r="L28" s="81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</row>
    <row r="29" spans="1:77" hidden="1">
      <c r="A29" s="79" t="s">
        <v>81</v>
      </c>
      <c r="B29" s="78">
        <f>IF($B$8="",ROUND($B$7*$B$31,2),ROUND(($B$7-$B$8)*$B$31,2))</f>
        <v>91937.3</v>
      </c>
      <c r="C29" s="78">
        <f>$D$14</f>
        <v>78000</v>
      </c>
      <c r="D29" s="200">
        <f>SUM(B29:B30,-C29,-C30)</f>
        <v>56482.75</v>
      </c>
      <c r="F29" s="90" t="s">
        <v>87</v>
      </c>
      <c r="G29" s="104">
        <f>SUM(G27:G28)</f>
        <v>0</v>
      </c>
      <c r="H29" s="104">
        <f>SUM(H27:H28)</f>
        <v>0</v>
      </c>
      <c r="I29" s="104">
        <f t="shared" si="1"/>
        <v>0</v>
      </c>
      <c r="J29" s="81"/>
      <c r="K29" s="81"/>
      <c r="L29" s="81"/>
    </row>
    <row r="30" spans="1:77" hidden="1">
      <c r="A30" s="79" t="s">
        <v>13</v>
      </c>
      <c r="B30" s="78">
        <f>IF($B$8="",0,ROUND($B$8*$B$31,2))</f>
        <v>42545.45</v>
      </c>
      <c r="C30" s="78">
        <f>D15</f>
        <v>0</v>
      </c>
      <c r="D30" s="200"/>
      <c r="F30" s="90"/>
      <c r="G30" s="99"/>
      <c r="H30" s="81"/>
      <c r="I30" s="104"/>
      <c r="J30" s="81"/>
      <c r="K30" s="81"/>
      <c r="L30" s="81"/>
    </row>
    <row r="31" spans="1:77" hidden="1">
      <c r="A31" s="97" t="s">
        <v>84</v>
      </c>
      <c r="B31" s="98">
        <f>MIN(D13/B9,1)</f>
        <v>0.4890282131661442</v>
      </c>
      <c r="C31" s="74"/>
      <c r="D31" s="78"/>
      <c r="F31" s="90" t="s">
        <v>89</v>
      </c>
      <c r="G31" s="81"/>
      <c r="H31" s="81"/>
      <c r="I31" s="81"/>
      <c r="J31" s="81"/>
      <c r="K31" s="81"/>
      <c r="L31" s="81"/>
    </row>
    <row r="32" spans="1:77" hidden="1">
      <c r="B32" s="6" t="s">
        <v>92</v>
      </c>
      <c r="F32" s="88" t="s">
        <v>59</v>
      </c>
      <c r="G32" s="112" t="e">
        <f>ROUND(G21*G36,2)</f>
        <v>#DIV/0!</v>
      </c>
      <c r="H32" s="81"/>
      <c r="I32" s="81"/>
      <c r="J32" s="81"/>
      <c r="K32" s="81"/>
      <c r="L32" s="81"/>
    </row>
    <row r="33" spans="6:12" hidden="1">
      <c r="F33" s="113" t="s">
        <v>16</v>
      </c>
      <c r="G33" s="114" t="e">
        <f>IF(G22="",ROUND(G32*0.2,2),ROUND((G32-G35)/2,2))</f>
        <v>#DIV/0!</v>
      </c>
      <c r="H33" s="81"/>
      <c r="I33" s="81"/>
      <c r="J33" s="81"/>
      <c r="K33" s="81"/>
      <c r="L33" s="81"/>
    </row>
    <row r="34" spans="6:12" hidden="1">
      <c r="F34" s="115" t="s">
        <v>12</v>
      </c>
      <c r="G34" s="114" t="e">
        <f>G32-G33-G35</f>
        <v>#DIV/0!</v>
      </c>
      <c r="H34" s="81"/>
      <c r="I34" s="81"/>
      <c r="J34" s="81"/>
      <c r="K34" s="81"/>
      <c r="L34" s="81"/>
    </row>
    <row r="35" spans="6:12" hidden="1">
      <c r="F35" s="115" t="s">
        <v>13</v>
      </c>
      <c r="G35" s="114" t="e">
        <f>IF(G22="",ROUND(G32*0.6,2),ROUND(G22*G36,2))</f>
        <v>#DIV/0!</v>
      </c>
      <c r="H35" s="81"/>
      <c r="I35" s="81"/>
      <c r="J35" s="81"/>
      <c r="K35" s="81"/>
      <c r="L35" s="81"/>
    </row>
    <row r="36" spans="6:12" hidden="1">
      <c r="F36" s="116" t="s">
        <v>83</v>
      </c>
      <c r="G36" s="117" t="e">
        <f>I28/G23</f>
        <v>#DIV/0!</v>
      </c>
      <c r="H36" s="81"/>
      <c r="I36" s="81"/>
      <c r="J36" s="81"/>
      <c r="K36" s="81"/>
      <c r="L36" s="81"/>
    </row>
    <row r="37" spans="6:12" hidden="1">
      <c r="F37" s="81"/>
      <c r="G37" s="81"/>
      <c r="H37" s="81"/>
      <c r="I37" s="81"/>
      <c r="J37" s="81"/>
      <c r="K37" s="81"/>
      <c r="L37" s="81"/>
    </row>
    <row r="38" spans="6:12" hidden="1">
      <c r="F38" s="81"/>
      <c r="G38" s="81"/>
      <c r="H38" s="81"/>
      <c r="I38" s="81"/>
      <c r="J38" s="81"/>
      <c r="K38" s="81"/>
      <c r="L38" s="81"/>
    </row>
    <row r="39" spans="6:12" hidden="1">
      <c r="F39" s="81"/>
      <c r="G39" s="81"/>
      <c r="H39" s="81"/>
      <c r="I39" s="81"/>
      <c r="J39" s="81"/>
      <c r="K39" s="81"/>
      <c r="L39" s="81"/>
    </row>
    <row r="40" spans="6:12" hidden="1">
      <c r="F40" s="81"/>
      <c r="G40" s="81"/>
      <c r="H40" s="81"/>
      <c r="I40" s="81"/>
      <c r="J40" s="81"/>
      <c r="K40" s="81"/>
      <c r="L40" s="81"/>
    </row>
    <row r="41" spans="6:12" hidden="1">
      <c r="F41" s="81"/>
      <c r="G41" s="81"/>
      <c r="H41" s="81"/>
      <c r="I41" s="81"/>
      <c r="J41" s="81"/>
      <c r="K41" s="81"/>
      <c r="L41" s="81"/>
    </row>
    <row r="42" spans="6:12" hidden="1">
      <c r="F42" s="81"/>
      <c r="G42" s="81"/>
      <c r="H42" s="81"/>
      <c r="I42" s="81"/>
      <c r="J42" s="81"/>
      <c r="K42" s="81"/>
      <c r="L42" s="81"/>
    </row>
    <row r="43" spans="6:12" hidden="1">
      <c r="F43" s="81"/>
      <c r="G43" s="81"/>
      <c r="H43" s="81"/>
      <c r="I43" s="81"/>
      <c r="J43" s="81"/>
      <c r="K43" s="81"/>
      <c r="L43" s="81"/>
    </row>
    <row r="44" spans="6:12" hidden="1">
      <c r="F44" s="81"/>
      <c r="G44" s="81"/>
      <c r="H44" s="81"/>
      <c r="I44" s="81"/>
      <c r="J44" s="81"/>
      <c r="K44" s="81"/>
      <c r="L44" s="81"/>
    </row>
    <row r="45" spans="6:12" hidden="1">
      <c r="F45" s="81"/>
      <c r="G45" s="81"/>
      <c r="H45" s="81"/>
      <c r="I45" s="81"/>
      <c r="J45" s="81"/>
      <c r="K45" s="81"/>
      <c r="L45" s="81"/>
    </row>
    <row r="46" spans="6:12" hidden="1">
      <c r="F46" s="81"/>
      <c r="G46" s="81"/>
      <c r="H46" s="81"/>
      <c r="I46" s="81"/>
      <c r="J46" s="81"/>
      <c r="K46" s="81"/>
      <c r="L46" s="81"/>
    </row>
    <row r="47" spans="6:12" hidden="1">
      <c r="F47" s="81"/>
      <c r="G47" s="81"/>
      <c r="H47" s="81"/>
      <c r="I47" s="81"/>
      <c r="J47" s="81"/>
      <c r="K47" s="81"/>
      <c r="L47" s="81"/>
    </row>
    <row r="48" spans="6:12" hidden="1">
      <c r="F48" s="81"/>
      <c r="G48" s="81"/>
      <c r="H48" s="81"/>
      <c r="I48" s="81"/>
      <c r="J48" s="81"/>
      <c r="K48" s="81"/>
      <c r="L48" s="81"/>
    </row>
    <row r="49" spans="6:12" hidden="1">
      <c r="F49" s="81"/>
      <c r="G49" s="81"/>
      <c r="H49" s="81"/>
      <c r="I49" s="81"/>
      <c r="J49" s="81"/>
      <c r="K49" s="81"/>
      <c r="L49" s="81"/>
    </row>
    <row r="50" spans="6:12" hidden="1">
      <c r="F50" s="81"/>
      <c r="G50" s="81"/>
      <c r="H50" s="81"/>
      <c r="I50" s="81"/>
      <c r="J50" s="81"/>
      <c r="K50" s="81"/>
      <c r="L50" s="81"/>
    </row>
    <row r="51" spans="6:12" hidden="1"/>
    <row r="53" spans="6:12">
      <c r="F53" s="199" t="s">
        <v>108</v>
      </c>
      <c r="G53" s="199"/>
      <c r="H53" s="199"/>
      <c r="I53" s="199"/>
      <c r="J53" s="199"/>
      <c r="K53" s="199"/>
      <c r="L53" s="199"/>
    </row>
    <row r="54" spans="6:12">
      <c r="F54" s="199"/>
      <c r="G54" s="199"/>
      <c r="H54" s="199"/>
      <c r="I54" s="199"/>
      <c r="J54" s="199"/>
      <c r="K54" s="199"/>
      <c r="L54" s="199"/>
    </row>
  </sheetData>
  <sheetProtection password="8F4F" sheet="1" objects="1" scenarios="1" selectLockedCells="1"/>
  <mergeCells count="3">
    <mergeCell ref="C8:D8"/>
    <mergeCell ref="D29:D30"/>
    <mergeCell ref="F53:L54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A10" sqref="A10"/>
    </sheetView>
  </sheetViews>
  <sheetFormatPr defaultRowHeight="15"/>
  <cols>
    <col min="1" max="1" width="37" style="8" customWidth="1"/>
    <col min="2" max="2" width="18.7109375" style="7" customWidth="1"/>
    <col min="3" max="3" width="16.5703125" style="8" customWidth="1"/>
    <col min="4" max="4" width="19.140625" style="8" customWidth="1"/>
    <col min="5" max="5" width="11.85546875" style="8" bestFit="1" customWidth="1"/>
    <col min="6" max="6" width="35.42578125" style="9" customWidth="1"/>
    <col min="7" max="7" width="13.7109375" style="9" bestFit="1" customWidth="1"/>
    <col min="8" max="8" width="12.85546875" style="9" customWidth="1"/>
    <col min="9" max="9" width="8.5703125" style="9" customWidth="1"/>
    <col min="10" max="10" width="25.5703125" style="9" customWidth="1"/>
    <col min="11" max="11" width="11.85546875" style="9" bestFit="1" customWidth="1"/>
    <col min="12" max="12" width="10.7109375" style="9" bestFit="1" customWidth="1"/>
    <col min="13" max="14" width="9.140625" style="9"/>
    <col min="15" max="16384" width="9.140625" style="8"/>
  </cols>
  <sheetData>
    <row r="1" spans="1:14">
      <c r="A1" s="6" t="s">
        <v>37</v>
      </c>
    </row>
    <row r="2" spans="1:14">
      <c r="A2" s="8" t="s">
        <v>18</v>
      </c>
      <c r="F2" s="9" t="s">
        <v>38</v>
      </c>
    </row>
    <row r="3" spans="1:14">
      <c r="A3" s="6" t="s">
        <v>2</v>
      </c>
      <c r="F3" s="10" t="s">
        <v>53</v>
      </c>
      <c r="I3" s="10" t="s">
        <v>22</v>
      </c>
    </row>
    <row r="4" spans="1:14" s="16" customFormat="1">
      <c r="A4" s="11"/>
      <c r="B4" s="12" t="s">
        <v>8</v>
      </c>
      <c r="C4" s="12" t="s">
        <v>9</v>
      </c>
      <c r="D4" s="12" t="s">
        <v>10</v>
      </c>
      <c r="E4" s="13"/>
      <c r="F4" s="14"/>
      <c r="G4" s="15" t="s">
        <v>51</v>
      </c>
      <c r="H4" s="9"/>
      <c r="I4" s="18" t="s">
        <v>23</v>
      </c>
      <c r="J4" s="9"/>
      <c r="K4" s="9"/>
      <c r="L4" s="9"/>
      <c r="M4" s="14"/>
      <c r="N4" s="14"/>
    </row>
    <row r="5" spans="1:14">
      <c r="A5" s="17" t="s">
        <v>2</v>
      </c>
      <c r="F5" s="18" t="s">
        <v>15</v>
      </c>
      <c r="G5" s="1">
        <v>1200000</v>
      </c>
      <c r="H5" s="19" t="s">
        <v>44</v>
      </c>
      <c r="I5" s="213" t="s">
        <v>24</v>
      </c>
      <c r="J5" s="213"/>
      <c r="K5" s="54" t="s">
        <v>25</v>
      </c>
      <c r="L5" s="18" t="s">
        <v>29</v>
      </c>
    </row>
    <row r="6" spans="1:14">
      <c r="A6" s="6" t="s">
        <v>15</v>
      </c>
      <c r="B6" s="1">
        <v>8000000</v>
      </c>
      <c r="C6" s="1">
        <v>0</v>
      </c>
      <c r="D6" s="20">
        <f>B6-C6</f>
        <v>8000000</v>
      </c>
      <c r="F6" s="18" t="s">
        <v>39</v>
      </c>
      <c r="G6" s="1" t="s">
        <v>75</v>
      </c>
      <c r="H6" s="19" t="s">
        <v>43</v>
      </c>
      <c r="I6" s="55" t="s">
        <v>30</v>
      </c>
      <c r="J6" s="5">
        <v>0</v>
      </c>
      <c r="K6" s="56">
        <v>0.08</v>
      </c>
      <c r="L6" s="24">
        <f>IF(AND(J6&lt;&gt;"",J7=""),MAX(($G$5-J6)*K6,0),MAX(MIN(($G$5-J6)*K6,(J7-J6)*K6),0))</f>
        <v>80000</v>
      </c>
    </row>
    <row r="7" spans="1:14">
      <c r="A7" s="6" t="s">
        <v>26</v>
      </c>
      <c r="B7" s="1">
        <v>350000</v>
      </c>
      <c r="C7" s="23" t="s">
        <v>69</v>
      </c>
      <c r="D7" s="57"/>
      <c r="F7" s="18" t="s">
        <v>40</v>
      </c>
      <c r="G7" s="24">
        <f>L11</f>
        <v>90000</v>
      </c>
      <c r="H7" s="19" t="s">
        <v>46</v>
      </c>
      <c r="I7" s="55" t="s">
        <v>30</v>
      </c>
      <c r="J7" s="5">
        <v>1000000</v>
      </c>
      <c r="K7" s="56">
        <v>0.05</v>
      </c>
      <c r="L7" s="24">
        <f>IF(AND(J7&lt;&gt;"",J8=""),MAX(($G$5-J7)*K7,0),MAX(MIN(($G$5-J7)*K7,(J8-J7)*K7),0))</f>
        <v>10000</v>
      </c>
    </row>
    <row r="8" spans="1:14" s="59" customFormat="1">
      <c r="A8" s="58"/>
      <c r="B8" s="57"/>
      <c r="C8" s="23"/>
      <c r="D8" s="57"/>
      <c r="E8" s="8"/>
      <c r="F8" s="9" t="s">
        <v>42</v>
      </c>
      <c r="G8" s="24">
        <f>G7+G5</f>
        <v>1290000</v>
      </c>
      <c r="H8" s="19" t="s">
        <v>47</v>
      </c>
      <c r="I8" s="55" t="s">
        <v>30</v>
      </c>
      <c r="J8" s="5">
        <v>5000000</v>
      </c>
      <c r="K8" s="56">
        <v>0.02</v>
      </c>
      <c r="L8" s="24">
        <f t="shared" ref="L8:L10" si="0">IF(AND(J8&lt;&gt;"",J9=""),MAX(($G$5-J8)*K8,0),MAX(MIN(($G$5-J8)*K8,(J9-J8)*K8),0))</f>
        <v>0</v>
      </c>
      <c r="M8" s="40"/>
      <c r="N8" s="40"/>
    </row>
    <row r="9" spans="1:14" s="59" customFormat="1" ht="15.75" thickBot="1">
      <c r="A9" s="58"/>
      <c r="B9" s="57"/>
      <c r="C9" s="57"/>
      <c r="D9" s="57"/>
      <c r="F9" s="18" t="s">
        <v>45</v>
      </c>
      <c r="G9" s="24" t="e">
        <f>G8-G6</f>
        <v>#VALUE!</v>
      </c>
      <c r="H9" s="9" t="s">
        <v>48</v>
      </c>
      <c r="I9" s="55" t="s">
        <v>30</v>
      </c>
      <c r="J9" s="5">
        <v>10000000</v>
      </c>
      <c r="K9" s="56">
        <v>0.01</v>
      </c>
      <c r="L9" s="24">
        <f t="shared" si="0"/>
        <v>0</v>
      </c>
      <c r="M9" s="40"/>
      <c r="N9" s="40"/>
    </row>
    <row r="10" spans="1:14">
      <c r="A10" s="17" t="s">
        <v>11</v>
      </c>
      <c r="C10" s="7"/>
      <c r="F10" s="29" t="s">
        <v>41</v>
      </c>
      <c r="G10" s="30" t="e">
        <f>ROUND(G7*G9/G8,2)</f>
        <v>#VALUE!</v>
      </c>
      <c r="H10" s="9" t="s">
        <v>52</v>
      </c>
      <c r="I10" s="55" t="str">
        <f t="shared" ref="I10" si="1">IF(J10="","高于","不高于")</f>
        <v>高于</v>
      </c>
      <c r="L10" s="24">
        <f t="shared" si="0"/>
        <v>0</v>
      </c>
    </row>
    <row r="11" spans="1:14">
      <c r="A11" s="6" t="s">
        <v>7</v>
      </c>
      <c r="B11" s="1">
        <v>4000000</v>
      </c>
      <c r="C11" s="57"/>
      <c r="D11" s="20">
        <f>B11-C11</f>
        <v>4000000</v>
      </c>
      <c r="E11" s="25"/>
      <c r="F11" s="31" t="s">
        <v>16</v>
      </c>
      <c r="G11" s="32" t="e">
        <f>ROUND($G$10*0.8,2)</f>
        <v>#VALUE!</v>
      </c>
      <c r="H11" s="9" t="s">
        <v>66</v>
      </c>
      <c r="J11" s="24"/>
      <c r="K11" s="18" t="s">
        <v>65</v>
      </c>
      <c r="L11" s="47">
        <f>SUM(L6:L10)</f>
        <v>90000</v>
      </c>
    </row>
    <row r="12" spans="1:14">
      <c r="A12" s="6" t="s">
        <v>1</v>
      </c>
      <c r="B12" s="1">
        <v>150000</v>
      </c>
      <c r="C12" s="57"/>
      <c r="D12" s="20">
        <f>B12-C12</f>
        <v>150000</v>
      </c>
      <c r="E12" s="25"/>
      <c r="F12" s="33" t="s">
        <v>12</v>
      </c>
      <c r="G12" s="32" t="e">
        <f>G10-G11</f>
        <v>#VALUE!</v>
      </c>
      <c r="H12" s="9" t="s">
        <v>67</v>
      </c>
    </row>
    <row r="13" spans="1:14" ht="15.75" thickBot="1">
      <c r="F13" s="34" t="s">
        <v>13</v>
      </c>
      <c r="G13" s="35">
        <v>0</v>
      </c>
    </row>
    <row r="14" spans="1:14">
      <c r="A14" s="17" t="s">
        <v>14</v>
      </c>
    </row>
    <row r="15" spans="1:14">
      <c r="A15" s="17"/>
      <c r="B15" s="43" t="s">
        <v>19</v>
      </c>
      <c r="C15" s="12" t="s">
        <v>20</v>
      </c>
      <c r="D15" s="12" t="s">
        <v>21</v>
      </c>
    </row>
    <row r="16" spans="1:14">
      <c r="A16" s="6" t="s">
        <v>5</v>
      </c>
      <c r="B16" s="20">
        <f>SUM(B17:B18)</f>
        <v>175000</v>
      </c>
      <c r="C16" s="20">
        <f>SUM(C17:C19)</f>
        <v>150000</v>
      </c>
      <c r="D16" s="20">
        <f>B16-C16</f>
        <v>25000</v>
      </c>
    </row>
    <row r="17" spans="1:12">
      <c r="A17" s="6" t="s">
        <v>16</v>
      </c>
      <c r="B17" s="20">
        <f>ROUND($B$7*MIN(1,$B$11/$D$6)*80%,2)</f>
        <v>140000</v>
      </c>
      <c r="C17" s="20">
        <f>$D$12</f>
        <v>150000</v>
      </c>
      <c r="D17" s="20">
        <f t="shared" ref="D17:D18" si="2">B17-C17</f>
        <v>-10000</v>
      </c>
      <c r="E17" s="20"/>
      <c r="F17" s="10" t="s">
        <v>54</v>
      </c>
      <c r="G17" s="15" t="s">
        <v>51</v>
      </c>
      <c r="I17" s="36"/>
      <c r="J17" s="37"/>
      <c r="K17" s="37"/>
      <c r="L17" s="38"/>
    </row>
    <row r="18" spans="1:12">
      <c r="A18" s="46" t="s">
        <v>12</v>
      </c>
      <c r="B18" s="20">
        <f>ROUND($B$7*MIN(1,$B$11/$D$6),2)-B17</f>
        <v>35000</v>
      </c>
      <c r="D18" s="20">
        <f t="shared" si="2"/>
        <v>35000</v>
      </c>
      <c r="E18" s="25" t="str">
        <f>IF(D17+D18=D16,"","ERROR")</f>
        <v/>
      </c>
      <c r="F18" s="18" t="s">
        <v>57</v>
      </c>
      <c r="G18" s="1">
        <v>500000</v>
      </c>
      <c r="I18" s="39"/>
      <c r="J18" s="40" t="s">
        <v>60</v>
      </c>
      <c r="K18" s="40"/>
      <c r="L18" s="41"/>
    </row>
    <row r="19" spans="1:12" ht="15.75" thickBot="1">
      <c r="A19" s="46"/>
      <c r="D19" s="20"/>
      <c r="F19" s="18" t="s">
        <v>55</v>
      </c>
      <c r="G19" s="1">
        <v>300000</v>
      </c>
      <c r="I19" s="39"/>
      <c r="J19" s="42" t="s">
        <v>61</v>
      </c>
      <c r="K19" s="40"/>
      <c r="L19" s="41"/>
    </row>
    <row r="20" spans="1:12">
      <c r="A20" s="46"/>
      <c r="D20" s="20"/>
      <c r="F20" s="18" t="s">
        <v>56</v>
      </c>
      <c r="G20" s="47">
        <f>G18+G19</f>
        <v>800000</v>
      </c>
      <c r="I20" s="39"/>
      <c r="J20" s="29" t="s">
        <v>59</v>
      </c>
      <c r="K20" s="44" t="e">
        <f>ROUND(MIN(G18,$G$9)/$G$9*$G$10,2)</f>
        <v>#VALUE!</v>
      </c>
      <c r="L20" s="41"/>
    </row>
    <row r="21" spans="1:12">
      <c r="A21" s="6" t="s">
        <v>64</v>
      </c>
      <c r="B21" s="49">
        <f>MIN($B$11/$D$6,1)</f>
        <v>0.5</v>
      </c>
      <c r="I21" s="39"/>
      <c r="J21" s="31" t="s">
        <v>16</v>
      </c>
      <c r="K21" s="45" t="e">
        <f>ROUND($K$20*80%,2)</f>
        <v>#VALUE!</v>
      </c>
      <c r="L21" s="41"/>
    </row>
    <row r="22" spans="1:12" ht="15.75" thickBot="1">
      <c r="F22" s="18" t="s">
        <v>58</v>
      </c>
      <c r="I22" s="39"/>
      <c r="J22" s="33" t="s">
        <v>12</v>
      </c>
      <c r="K22" s="45" t="e">
        <f>K20-K21</f>
        <v>#VALUE!</v>
      </c>
      <c r="L22" s="41"/>
    </row>
    <row r="23" spans="1:12" ht="15.75" thickBot="1">
      <c r="F23" s="29" t="s">
        <v>59</v>
      </c>
      <c r="G23" s="44" t="e">
        <f>ROUND(G10*MIN(G9-G18,G19)/G9,2)</f>
        <v>#VALUE!</v>
      </c>
      <c r="I23" s="39"/>
      <c r="J23" s="34" t="s">
        <v>13</v>
      </c>
      <c r="K23" s="48">
        <v>0</v>
      </c>
      <c r="L23" s="41"/>
    </row>
    <row r="24" spans="1:12">
      <c r="F24" s="31" t="s">
        <v>16</v>
      </c>
      <c r="G24" s="45" t="e">
        <f>ROUND($G$23*80%,2)</f>
        <v>#VALUE!</v>
      </c>
      <c r="I24" s="39"/>
      <c r="J24" s="40"/>
      <c r="K24" s="40"/>
      <c r="L24" s="41"/>
    </row>
    <row r="25" spans="1:12" ht="15.75" thickBot="1">
      <c r="F25" s="33" t="s">
        <v>12</v>
      </c>
      <c r="G25" s="45" t="e">
        <f>G23-G24</f>
        <v>#VALUE!</v>
      </c>
      <c r="I25" s="39"/>
      <c r="J25" s="42" t="s">
        <v>62</v>
      </c>
      <c r="K25" s="40"/>
      <c r="L25" s="41" t="s">
        <v>63</v>
      </c>
    </row>
    <row r="26" spans="1:12" ht="15.75" thickBot="1">
      <c r="F26" s="34" t="s">
        <v>13</v>
      </c>
      <c r="G26" s="48">
        <v>0</v>
      </c>
      <c r="I26" s="39"/>
      <c r="J26" s="29" t="s">
        <v>59</v>
      </c>
      <c r="K26" s="44" t="e">
        <f>ROUND(MIN(G20,$G$9)/$G$9*$G$10,2)</f>
        <v>#VALUE!</v>
      </c>
      <c r="L26" s="50" t="e">
        <f>K26-G23-K20</f>
        <v>#VALUE!</v>
      </c>
    </row>
    <row r="27" spans="1:12">
      <c r="I27" s="39"/>
      <c r="J27" s="31" t="s">
        <v>16</v>
      </c>
      <c r="K27" s="45" t="e">
        <f>ROUND($K$26*80%,2)</f>
        <v>#VALUE!</v>
      </c>
      <c r="L27" s="50" t="e">
        <f>K27-G24-K21</f>
        <v>#VALUE!</v>
      </c>
    </row>
    <row r="28" spans="1:12">
      <c r="I28" s="39"/>
      <c r="J28" s="33" t="s">
        <v>12</v>
      </c>
      <c r="K28" s="45" t="e">
        <f>K26-K27</f>
        <v>#VALUE!</v>
      </c>
      <c r="L28" s="50" t="e">
        <f>K28-G25-K22</f>
        <v>#VALUE!</v>
      </c>
    </row>
    <row r="29" spans="1:12" ht="15.75" thickBot="1">
      <c r="I29" s="39"/>
      <c r="J29" s="34" t="s">
        <v>13</v>
      </c>
      <c r="K29" s="48">
        <v>0</v>
      </c>
      <c r="L29" s="50">
        <f t="shared" ref="L29" si="3">K29-G29-K23</f>
        <v>0</v>
      </c>
    </row>
    <row r="30" spans="1:12">
      <c r="I30" s="39"/>
      <c r="J30" s="40"/>
      <c r="K30" s="40"/>
      <c r="L30" s="41"/>
    </row>
    <row r="31" spans="1:12">
      <c r="I31" s="51"/>
      <c r="J31" s="52"/>
      <c r="K31" s="52"/>
      <c r="L31" s="53"/>
    </row>
  </sheetData>
  <sheetProtection selectLockedCells="1"/>
  <mergeCells count="1">
    <mergeCell ref="I5:J5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B8" sqref="B8"/>
    </sheetView>
  </sheetViews>
  <sheetFormatPr defaultRowHeight="15"/>
  <cols>
    <col min="1" max="1" width="38.7109375" style="8" customWidth="1"/>
    <col min="2" max="2" width="18.7109375" style="7" customWidth="1"/>
    <col min="3" max="3" width="17.140625" style="8" customWidth="1"/>
    <col min="4" max="4" width="13.7109375" style="8" bestFit="1" customWidth="1"/>
    <col min="5" max="5" width="11.85546875" style="8" bestFit="1" customWidth="1"/>
    <col min="6" max="6" width="36.42578125" style="9" customWidth="1"/>
    <col min="7" max="7" width="16" style="9" customWidth="1"/>
    <col min="8" max="8" width="12.42578125" style="9" customWidth="1"/>
    <col min="9" max="9" width="13.28515625" style="9" customWidth="1"/>
    <col min="10" max="10" width="14.42578125" style="9" customWidth="1"/>
    <col min="11" max="11" width="15.85546875" style="9" customWidth="1"/>
    <col min="12" max="12" width="14.42578125" style="9" bestFit="1" customWidth="1"/>
    <col min="13" max="17" width="9.140625" style="9"/>
    <col min="18" max="16384" width="9.140625" style="8"/>
  </cols>
  <sheetData>
    <row r="1" spans="1:17">
      <c r="A1" s="6" t="s">
        <v>36</v>
      </c>
    </row>
    <row r="2" spans="1:17">
      <c r="A2" s="8" t="s">
        <v>18</v>
      </c>
      <c r="F2" s="9" t="s">
        <v>38</v>
      </c>
    </row>
    <row r="3" spans="1:17">
      <c r="A3" s="6" t="s">
        <v>2</v>
      </c>
      <c r="F3" s="10" t="s">
        <v>53</v>
      </c>
    </row>
    <row r="4" spans="1:17" s="16" customFormat="1">
      <c r="A4" s="11"/>
      <c r="B4" s="12" t="s">
        <v>8</v>
      </c>
      <c r="C4" s="12" t="s">
        <v>9</v>
      </c>
      <c r="D4" s="12" t="s">
        <v>10</v>
      </c>
      <c r="E4" s="13"/>
      <c r="F4" s="14"/>
      <c r="G4" s="15" t="s">
        <v>51</v>
      </c>
      <c r="H4" s="9"/>
      <c r="I4" s="10" t="s">
        <v>32</v>
      </c>
      <c r="J4" s="9"/>
      <c r="K4" s="9"/>
      <c r="L4" s="9"/>
      <c r="M4" s="14"/>
      <c r="N4" s="14"/>
      <c r="O4" s="14"/>
      <c r="P4" s="14"/>
      <c r="Q4" s="14"/>
    </row>
    <row r="5" spans="1:17" ht="32.25" customHeight="1">
      <c r="A5" s="17" t="s">
        <v>2</v>
      </c>
      <c r="F5" s="61" t="s">
        <v>28</v>
      </c>
      <c r="G5" s="1">
        <v>2915000</v>
      </c>
      <c r="H5" s="19"/>
      <c r="I5" s="214" t="s">
        <v>24</v>
      </c>
      <c r="J5" s="214"/>
      <c r="K5" s="54" t="s">
        <v>25</v>
      </c>
      <c r="L5" s="18" t="s">
        <v>29</v>
      </c>
    </row>
    <row r="6" spans="1:17" ht="31.5" customHeight="1">
      <c r="A6" s="63" t="s">
        <v>28</v>
      </c>
      <c r="B6" s="1">
        <v>2915000</v>
      </c>
      <c r="C6" s="7"/>
      <c r="D6" s="20"/>
      <c r="F6" s="18" t="s">
        <v>71</v>
      </c>
      <c r="G6" s="1">
        <v>2915000</v>
      </c>
      <c r="H6" s="19"/>
      <c r="I6" s="55" t="s">
        <v>30</v>
      </c>
      <c r="J6" s="5">
        <v>0</v>
      </c>
      <c r="K6" s="4">
        <v>0.2</v>
      </c>
      <c r="L6" s="24">
        <f>IF(AND(J6&lt;&gt;"",J7=""),MAX(($G$5-J6)*K6,0),MAX(MIN(($G$5-J6)*K6,(J7-J6)*K6),0))</f>
        <v>583000</v>
      </c>
    </row>
    <row r="7" spans="1:17">
      <c r="A7" s="6" t="s">
        <v>15</v>
      </c>
      <c r="B7" s="1">
        <v>2915000</v>
      </c>
      <c r="C7" s="1">
        <v>900000</v>
      </c>
      <c r="D7" s="20">
        <f>B7-C7</f>
        <v>2015000</v>
      </c>
      <c r="F7" s="18" t="s">
        <v>39</v>
      </c>
      <c r="G7" s="1">
        <v>900000</v>
      </c>
      <c r="H7" s="19"/>
      <c r="I7" s="55" t="s">
        <v>30</v>
      </c>
      <c r="J7" s="3">
        <v>5000000</v>
      </c>
      <c r="K7" s="4">
        <v>0.13</v>
      </c>
      <c r="L7" s="24">
        <f>IF(AND(J7&lt;&gt;"",J8=""),MAX(($G$5-J7)*K7,0),MAX(MIN(($G$5-J7)*K7,(J8-J7)*K7),0))</f>
        <v>0</v>
      </c>
    </row>
    <row r="8" spans="1:17">
      <c r="A8" s="26" t="s">
        <v>26</v>
      </c>
      <c r="B8" s="1">
        <v>350000</v>
      </c>
      <c r="C8" s="23" t="s">
        <v>69</v>
      </c>
      <c r="D8" s="20"/>
      <c r="F8" s="18" t="s">
        <v>72</v>
      </c>
      <c r="G8" s="24">
        <f>G6-G7</f>
        <v>2015000</v>
      </c>
      <c r="H8" s="19"/>
      <c r="I8" s="55" t="s">
        <v>30</v>
      </c>
      <c r="J8" s="3">
        <v>10000000</v>
      </c>
      <c r="K8" s="4">
        <v>0.1</v>
      </c>
      <c r="L8" s="24">
        <f t="shared" ref="L8:L10" si="0">IF(AND(J8&lt;&gt;"",J9=""),MAX(($G$5-J8)*K8,0),MAX(MIN(($G$5-J8)*K8,(J9-J8)*K8),0))</f>
        <v>0</v>
      </c>
    </row>
    <row r="9" spans="1:17">
      <c r="A9" s="26" t="s">
        <v>13</v>
      </c>
      <c r="B9" s="1">
        <v>130000</v>
      </c>
      <c r="C9" s="198" t="s">
        <v>68</v>
      </c>
      <c r="D9" s="198"/>
      <c r="E9" s="25"/>
      <c r="F9" s="18" t="s">
        <v>26</v>
      </c>
      <c r="G9" s="24">
        <f>L11</f>
        <v>583000</v>
      </c>
      <c r="I9" s="55" t="s">
        <v>30</v>
      </c>
      <c r="J9" s="3"/>
      <c r="K9" s="4"/>
      <c r="L9" s="24">
        <f t="shared" si="0"/>
        <v>0</v>
      </c>
    </row>
    <row r="10" spans="1:17" ht="15.75" thickBot="1">
      <c r="A10" s="26"/>
      <c r="B10" s="8"/>
      <c r="F10" s="18" t="s">
        <v>13</v>
      </c>
      <c r="G10" s="62">
        <f>L20</f>
        <v>145750</v>
      </c>
      <c r="I10" s="55" t="str">
        <f t="shared" ref="I10" si="1">IF(J10="","高于","不高于")</f>
        <v>高于</v>
      </c>
      <c r="J10" s="2"/>
      <c r="K10" s="2"/>
      <c r="L10" s="24">
        <f t="shared" si="0"/>
        <v>0</v>
      </c>
    </row>
    <row r="11" spans="1:17" ht="15.75" thickBot="1">
      <c r="A11" s="17" t="s">
        <v>11</v>
      </c>
      <c r="C11" s="28"/>
      <c r="F11" s="29" t="s">
        <v>74</v>
      </c>
      <c r="G11" s="30"/>
      <c r="I11" s="55"/>
      <c r="K11" s="18" t="s">
        <v>26</v>
      </c>
      <c r="L11" s="60">
        <f>SUM(L6:L10)</f>
        <v>583000</v>
      </c>
    </row>
    <row r="12" spans="1:17">
      <c r="A12" s="6" t="s">
        <v>7</v>
      </c>
      <c r="B12" s="1">
        <v>1500000</v>
      </c>
      <c r="C12" s="1">
        <v>230000</v>
      </c>
      <c r="D12" s="20">
        <f>B12-C12</f>
        <v>1270000</v>
      </c>
      <c r="E12" s="25"/>
      <c r="F12" s="31" t="s">
        <v>16</v>
      </c>
      <c r="G12" s="32">
        <f>ROUND($L$11*$G$8/$G$6*80%,2)</f>
        <v>322400</v>
      </c>
    </row>
    <row r="13" spans="1:17">
      <c r="A13" s="6" t="s">
        <v>1</v>
      </c>
      <c r="B13" s="1">
        <v>78000</v>
      </c>
      <c r="C13" s="20"/>
      <c r="D13" s="20">
        <f>B13-C13</f>
        <v>78000</v>
      </c>
      <c r="E13" s="25"/>
      <c r="F13" s="33" t="s">
        <v>12</v>
      </c>
      <c r="G13" s="32">
        <f>ROUND($L$11*$G$8/$G$6*20%,2)</f>
        <v>80600</v>
      </c>
      <c r="I13" s="10" t="s">
        <v>73</v>
      </c>
    </row>
    <row r="14" spans="1:17" ht="15" customHeight="1" thickBot="1">
      <c r="A14" s="6" t="s">
        <v>27</v>
      </c>
      <c r="B14" s="1"/>
      <c r="C14" s="20"/>
      <c r="D14" s="20">
        <f>B14-C14</f>
        <v>0</v>
      </c>
      <c r="E14" s="25"/>
      <c r="F14" s="34" t="s">
        <v>13</v>
      </c>
      <c r="G14" s="35">
        <f>ROUND($G$10*$G$8/$G$6,2)</f>
        <v>100750</v>
      </c>
      <c r="I14" s="213" t="s">
        <v>24</v>
      </c>
      <c r="J14" s="213"/>
      <c r="K14" s="54" t="s">
        <v>25</v>
      </c>
      <c r="L14" s="18" t="s">
        <v>29</v>
      </c>
    </row>
    <row r="15" spans="1:17">
      <c r="I15" s="55" t="s">
        <v>30</v>
      </c>
      <c r="J15" s="5">
        <v>0</v>
      </c>
      <c r="K15" s="4">
        <v>0.05</v>
      </c>
      <c r="L15" s="24">
        <f>IF(AND(J15&lt;&gt;"",J16=""),MAX(($G$5-J15)*K15,0),MAX(MIN(($G$5-J15)*K15,(J16-J15)*K15),0))</f>
        <v>145750</v>
      </c>
    </row>
    <row r="16" spans="1:17">
      <c r="A16" s="17" t="s">
        <v>14</v>
      </c>
      <c r="E16" s="20"/>
      <c r="I16" s="55" t="s">
        <v>30</v>
      </c>
      <c r="J16" s="3"/>
      <c r="K16" s="4"/>
      <c r="L16" s="24">
        <f>IF(AND(J16&lt;&gt;"",J17=""),MAX(($G$5-J16)*K16,0),MAX(MIN(($G$5-J16)*K16,(J17-J16)*K16),0))</f>
        <v>0</v>
      </c>
    </row>
    <row r="17" spans="1:12" s="9" customFormat="1">
      <c r="A17" s="17"/>
      <c r="B17" s="43" t="s">
        <v>19</v>
      </c>
      <c r="C17" s="12" t="s">
        <v>20</v>
      </c>
      <c r="D17" s="12" t="s">
        <v>21</v>
      </c>
      <c r="E17" s="20"/>
      <c r="F17" s="10" t="s">
        <v>54</v>
      </c>
      <c r="G17" s="15" t="s">
        <v>51</v>
      </c>
      <c r="I17" s="55" t="s">
        <v>30</v>
      </c>
      <c r="J17" s="3"/>
      <c r="K17" s="4"/>
      <c r="L17" s="24">
        <f t="shared" ref="L17:L19" si="2">IF(AND(J17&lt;&gt;"",J18=""),MAX(($G$5-J17)*K17,0),MAX(MIN(($G$5-J17)*K17,(J18-J17)*K17),0))</f>
        <v>0</v>
      </c>
    </row>
    <row r="18" spans="1:12" s="9" customFormat="1">
      <c r="A18" s="6" t="s">
        <v>5</v>
      </c>
      <c r="B18" s="20">
        <f>SUM(B19:B21)</f>
        <v>260545.9</v>
      </c>
      <c r="C18" s="20">
        <f>SUM(C19:C21)</f>
        <v>78000</v>
      </c>
      <c r="D18" s="20">
        <f>B18-C18</f>
        <v>182545.9</v>
      </c>
      <c r="E18" s="8"/>
      <c r="F18" s="18" t="s">
        <v>57</v>
      </c>
      <c r="G18" s="1">
        <v>1500000</v>
      </c>
      <c r="I18" s="55" t="s">
        <v>30</v>
      </c>
      <c r="J18" s="3"/>
      <c r="K18" s="4"/>
      <c r="L18" s="24">
        <f t="shared" si="2"/>
        <v>0</v>
      </c>
    </row>
    <row r="19" spans="1:12" s="9" customFormat="1">
      <c r="A19" s="6" t="s">
        <v>16</v>
      </c>
      <c r="B19" s="20">
        <f>ROUND(($B$8-$B$9)*$B$23*0.8,2)</f>
        <v>131017.37</v>
      </c>
      <c r="C19" s="20">
        <f>$D$13</f>
        <v>78000</v>
      </c>
      <c r="D19" s="20">
        <f t="shared" ref="D19:D21" si="3">B19-C19</f>
        <v>53017.369999999995</v>
      </c>
      <c r="E19" s="20"/>
      <c r="F19" s="18" t="s">
        <v>55</v>
      </c>
      <c r="G19" s="1">
        <v>600000</v>
      </c>
      <c r="I19" s="55" t="str">
        <f t="shared" ref="I19" si="4">IF(J19="","高于","不高于")</f>
        <v>高于</v>
      </c>
      <c r="J19" s="2"/>
      <c r="K19" s="2"/>
      <c r="L19" s="24">
        <f t="shared" si="2"/>
        <v>0</v>
      </c>
    </row>
    <row r="20" spans="1:12" s="9" customFormat="1" ht="15.75" thickBot="1">
      <c r="A20" s="46" t="s">
        <v>12</v>
      </c>
      <c r="B20" s="20">
        <f>ROUND(($B$8-$B$9)*$B$23*0.2,2)</f>
        <v>32754.34</v>
      </c>
      <c r="C20" s="8"/>
      <c r="D20" s="20">
        <f t="shared" si="3"/>
        <v>32754.34</v>
      </c>
      <c r="E20" s="8"/>
      <c r="F20" s="18" t="s">
        <v>56</v>
      </c>
      <c r="G20" s="47">
        <f>G18+G19</f>
        <v>2100000</v>
      </c>
      <c r="I20" s="55"/>
      <c r="K20" s="18" t="s">
        <v>13</v>
      </c>
      <c r="L20" s="60">
        <f>SUM(L15:L19)</f>
        <v>145750</v>
      </c>
    </row>
    <row r="21" spans="1:12" s="9" customFormat="1">
      <c r="A21" s="46" t="s">
        <v>13</v>
      </c>
      <c r="B21" s="20">
        <f>ROUND(B9*B23,2)</f>
        <v>96774.19</v>
      </c>
      <c r="C21" s="20">
        <f>D14</f>
        <v>0</v>
      </c>
      <c r="D21" s="20">
        <f t="shared" si="3"/>
        <v>96774.19</v>
      </c>
      <c r="E21" s="25" t="str">
        <f>IF(SUM(D19:D21)=D18,"","ERROR")</f>
        <v/>
      </c>
    </row>
    <row r="22" spans="1:12" s="9" customFormat="1" ht="15.75" thickBot="1">
      <c r="A22" s="46"/>
      <c r="B22" s="7"/>
      <c r="C22" s="8"/>
      <c r="D22" s="20"/>
      <c r="E22" s="8"/>
      <c r="F22" s="18" t="s">
        <v>58</v>
      </c>
      <c r="I22" s="36"/>
      <c r="J22" s="37"/>
      <c r="K22" s="37"/>
      <c r="L22" s="38"/>
    </row>
    <row r="23" spans="1:12" s="9" customFormat="1">
      <c r="A23" s="6" t="s">
        <v>64</v>
      </c>
      <c r="B23" s="49">
        <f>MIN(B12/D7,1)</f>
        <v>0.74441687344913154</v>
      </c>
      <c r="C23" s="8"/>
      <c r="D23" s="8"/>
      <c r="E23" s="8"/>
      <c r="F23" s="29" t="s">
        <v>59</v>
      </c>
      <c r="G23" s="44"/>
      <c r="I23" s="39"/>
      <c r="J23" s="40" t="s">
        <v>60</v>
      </c>
      <c r="K23" s="40"/>
      <c r="L23" s="41"/>
    </row>
    <row r="24" spans="1:12" s="9" customFormat="1" ht="15.75" thickBot="1">
      <c r="A24" s="8"/>
      <c r="B24" s="7"/>
      <c r="C24" s="8"/>
      <c r="D24" s="8"/>
      <c r="E24" s="8"/>
      <c r="F24" s="31" t="s">
        <v>16</v>
      </c>
      <c r="G24" s="45">
        <f>ROUND(G12*MIN($G$19,$G$8-$G$18)/$G$8,2)</f>
        <v>82400</v>
      </c>
      <c r="I24" s="39"/>
      <c r="J24" s="42" t="s">
        <v>61</v>
      </c>
      <c r="K24" s="40"/>
      <c r="L24" s="41"/>
    </row>
    <row r="25" spans="1:12" s="9" customFormat="1">
      <c r="A25" s="8"/>
      <c r="B25" s="7"/>
      <c r="C25" s="8"/>
      <c r="D25" s="8"/>
      <c r="E25" s="8"/>
      <c r="F25" s="33" t="s">
        <v>12</v>
      </c>
      <c r="G25" s="45">
        <f>ROUND(G13*MIN($G$19,$G$8-$G$18)/$G$8,2)</f>
        <v>20600</v>
      </c>
      <c r="I25" s="39"/>
      <c r="J25" s="29" t="s">
        <v>59</v>
      </c>
      <c r="K25" s="44"/>
      <c r="L25" s="41"/>
    </row>
    <row r="26" spans="1:12" s="9" customFormat="1" ht="15.75" thickBot="1">
      <c r="A26" s="8"/>
      <c r="B26" s="7"/>
      <c r="C26" s="8"/>
      <c r="D26" s="8"/>
      <c r="E26" s="8"/>
      <c r="F26" s="34" t="s">
        <v>13</v>
      </c>
      <c r="G26" s="48">
        <f>ROUND(G14*MIN($G$19,$G$8-$G$18)/$G$8,2)</f>
        <v>25750</v>
      </c>
      <c r="I26" s="39"/>
      <c r="J26" s="31" t="s">
        <v>16</v>
      </c>
      <c r="K26" s="45">
        <f>ROUND(G12*MIN($G$18,$G$8)/$G$8,2)</f>
        <v>240000</v>
      </c>
      <c r="L26" s="41"/>
    </row>
    <row r="27" spans="1:12" s="9" customFormat="1">
      <c r="A27" s="8"/>
      <c r="B27" s="7"/>
      <c r="C27" s="8"/>
      <c r="D27" s="8"/>
      <c r="E27" s="8"/>
      <c r="I27" s="39"/>
      <c r="J27" s="33" t="s">
        <v>12</v>
      </c>
      <c r="K27" s="45">
        <f>ROUND(G13*MIN($G$18,$G$8)/$G$8,2)</f>
        <v>60000</v>
      </c>
      <c r="L27" s="41"/>
    </row>
    <row r="28" spans="1:12" ht="15.75" thickBot="1">
      <c r="I28" s="39"/>
      <c r="J28" s="34" t="s">
        <v>13</v>
      </c>
      <c r="K28" s="48">
        <f>ROUND(G14*MIN($G$18,$G$8)/$G$8,2)</f>
        <v>75000</v>
      </c>
      <c r="L28" s="41"/>
    </row>
    <row r="29" spans="1:12">
      <c r="I29" s="39"/>
      <c r="J29" s="40"/>
      <c r="K29" s="40"/>
      <c r="L29" s="41"/>
    </row>
    <row r="30" spans="1:12" ht="15.75" thickBot="1">
      <c r="I30" s="39"/>
      <c r="J30" s="42" t="s">
        <v>62</v>
      </c>
      <c r="K30" s="40"/>
      <c r="L30" s="41" t="s">
        <v>63</v>
      </c>
    </row>
    <row r="31" spans="1:12">
      <c r="I31" s="39"/>
      <c r="J31" s="29" t="s">
        <v>59</v>
      </c>
      <c r="K31" s="44"/>
      <c r="L31" s="50">
        <f>K31-G23-K25</f>
        <v>0</v>
      </c>
    </row>
    <row r="32" spans="1:12">
      <c r="I32" s="39"/>
      <c r="J32" s="31" t="s">
        <v>16</v>
      </c>
      <c r="K32" s="45">
        <f>ROUND(G12*MIN($G$20,$G$8)/$G$8,2)</f>
        <v>322400</v>
      </c>
      <c r="L32" s="50">
        <f>K32-G24-K26</f>
        <v>0</v>
      </c>
    </row>
    <row r="33" spans="9:12">
      <c r="I33" s="39"/>
      <c r="J33" s="33" t="s">
        <v>12</v>
      </c>
      <c r="K33" s="45">
        <f>ROUND(G13*MIN($G$20,$G$8)/$G$8,2)</f>
        <v>80600</v>
      </c>
      <c r="L33" s="50">
        <f>K33-G25-K27</f>
        <v>0</v>
      </c>
    </row>
    <row r="34" spans="9:12" ht="15.75" thickBot="1">
      <c r="I34" s="39"/>
      <c r="J34" s="34" t="s">
        <v>13</v>
      </c>
      <c r="K34" s="48">
        <f>ROUND(G14*MIN($G$20,$G$8)/$G$8,2)</f>
        <v>100750</v>
      </c>
      <c r="L34" s="50">
        <f>K34-G26-K28</f>
        <v>0</v>
      </c>
    </row>
    <row r="35" spans="9:12">
      <c r="I35" s="39"/>
      <c r="J35" s="40"/>
      <c r="K35" s="40"/>
      <c r="L35" s="41"/>
    </row>
    <row r="36" spans="9:12">
      <c r="I36" s="51"/>
      <c r="J36" s="52"/>
      <c r="K36" s="52"/>
      <c r="L36" s="53"/>
    </row>
  </sheetData>
  <sheetProtection password="83AF" sheet="1" objects="1" scenarios="1" selectLockedCells="1"/>
  <mergeCells count="3">
    <mergeCell ref="I5:J5"/>
    <mergeCell ref="C9:D9"/>
    <mergeCell ref="I14:J1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使用说明</vt:lpstr>
      <vt:lpstr>表格1 - 中央财政科研项目</vt:lpstr>
      <vt:lpstr>表格2- 上海市科研计划专项</vt:lpstr>
      <vt:lpstr>表格3- 其他有间接费用上限的项目</vt:lpstr>
      <vt:lpstr>表格4 - 没有办法规定的项目</vt:lpstr>
      <vt:lpstr>表格2 - 国际科技合作</vt:lpstr>
      <vt:lpstr>表格4 - 管理费项目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HuangJie</dc:creator>
  <cp:lastModifiedBy>huangjie</cp:lastModifiedBy>
  <cp:lastPrinted>2016-03-21T06:20:25Z</cp:lastPrinted>
  <dcterms:created xsi:type="dcterms:W3CDTF">2016-03-02T00:35:48Z</dcterms:created>
  <dcterms:modified xsi:type="dcterms:W3CDTF">2017-02-28T07:17:10Z</dcterms:modified>
</cp:coreProperties>
</file>